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0" yWindow="0" windowWidth="19440" windowHeight="13635" activeTab="2"/>
  </bookViews>
  <sheets>
    <sheet name="Исходные данные" sheetId="6" r:id="rId1"/>
    <sheet name="Обобщенный расчет" sheetId="7" r:id="rId2"/>
    <sheet name="Детальный расчет" sheetId="4" r:id="rId3"/>
  </sheets>
  <externalReferences>
    <externalReference r:id="rId4"/>
    <externalReference r:id="rId5"/>
    <externalReference r:id="rId6"/>
  </externalReferences>
  <definedNames>
    <definedName name="About_AI" localSheetId="0">#REF!</definedName>
    <definedName name="About_AI" localSheetId="1">#REF!</definedName>
    <definedName name="About_AI">#REF!</definedName>
    <definedName name="About_AI_Summ" localSheetId="0">#REF!</definedName>
    <definedName name="About_AI_Summ" localSheetId="1">#REF!</definedName>
    <definedName name="About_AI_Summ">#REF!</definedName>
    <definedName name="AI_Version">[1]Опции!$B$5</definedName>
    <definedName name="CalcMethod">[1]Проект!$F$88</definedName>
    <definedName name="CUR_Foreign">[1]Проект!$B$12</definedName>
    <definedName name="CUR_I_Foreign">[1]Проект!$D$12</definedName>
    <definedName name="CUR_I_Main">[1]Проект!$D$11</definedName>
    <definedName name="CUR_I_Report">[1]Проект!$D$19</definedName>
    <definedName name="CUR_Main">[1]Проект!$B$11</definedName>
    <definedName name="CUR_Report">[1]Проект!$B$19</definedName>
    <definedName name="EST_DATA" localSheetId="0">[1]Проект!#REF!</definedName>
    <definedName name="EST_DATA" localSheetId="1">[1]Проект!#REF!</definedName>
    <definedName name="EST_DATA">[1]Проект!#REF!</definedName>
    <definedName name="EST_FROM" localSheetId="0">[1]Проект!#REF!</definedName>
    <definedName name="EST_FROM" localSheetId="1">[1]Проект!#REF!</definedName>
    <definedName name="EST_FROM">[1]Проект!#REF!</definedName>
    <definedName name="EST_NumStages" localSheetId="0">[1]Проект!#REF!</definedName>
    <definedName name="EST_NumStages" localSheetId="1">[1]Проект!#REF!</definedName>
    <definedName name="EST_NumStages">[1]Проект!#REF!</definedName>
    <definedName name="EST_Obj_1" localSheetId="0">[1]Проект!#REF!</definedName>
    <definedName name="EST_Obj_1" localSheetId="1">[1]Проект!#REF!</definedName>
    <definedName name="EST_Obj_1">[1]Проект!#REF!</definedName>
    <definedName name="EST_Obj_10" localSheetId="0">[1]Проект!#REF!</definedName>
    <definedName name="EST_Obj_10" localSheetId="1">[1]Проект!#REF!</definedName>
    <definedName name="EST_Obj_10">[1]Проект!#REF!</definedName>
    <definedName name="EST_Obj_2" localSheetId="0">[1]Проект!#REF!</definedName>
    <definedName name="EST_Obj_2" localSheetId="1">[1]Проект!#REF!</definedName>
    <definedName name="EST_Obj_2">[1]Проект!#REF!</definedName>
    <definedName name="EST_Obj_3" localSheetId="0">[1]Проект!#REF!</definedName>
    <definedName name="EST_Obj_3" localSheetId="1">[1]Проект!#REF!</definedName>
    <definedName name="EST_Obj_3">[1]Проект!#REF!</definedName>
    <definedName name="EST_Obj_4" localSheetId="0">[1]Проект!#REF!</definedName>
    <definedName name="EST_Obj_4" localSheetId="1">[1]Проект!#REF!</definedName>
    <definedName name="EST_Obj_4">[1]Проект!#REF!</definedName>
    <definedName name="EST_Obj_5" localSheetId="0">[1]Проект!#REF!</definedName>
    <definedName name="EST_Obj_5" localSheetId="1">[1]Проект!#REF!</definedName>
    <definedName name="EST_Obj_5">[1]Проект!#REF!</definedName>
    <definedName name="EST_Obj_6" localSheetId="0">[1]Проект!#REF!</definedName>
    <definedName name="EST_Obj_6" localSheetId="1">[1]Проект!#REF!</definedName>
    <definedName name="EST_Obj_6">[1]Проект!#REF!</definedName>
    <definedName name="EST_Obj_7" localSheetId="0">[1]Проект!#REF!</definedName>
    <definedName name="EST_Obj_7" localSheetId="1">[1]Проект!#REF!</definedName>
    <definedName name="EST_Obj_7">[1]Проект!#REF!</definedName>
    <definedName name="EST_Obj_8" localSheetId="0">[1]Проект!#REF!</definedName>
    <definedName name="EST_Obj_8" localSheetId="1">[1]Проект!#REF!</definedName>
    <definedName name="EST_Obj_8">[1]Проект!#REF!</definedName>
    <definedName name="EST_Obj_9" localSheetId="0">[1]Проект!#REF!</definedName>
    <definedName name="EST_Obj_9" localSheetId="1">[1]Проект!#REF!</definedName>
    <definedName name="EST_Obj_9">[1]Проект!#REF!</definedName>
    <definedName name="EST_ProdNum" localSheetId="0">[1]Проект!#REF!</definedName>
    <definedName name="EST_ProdNum" localSheetId="1">[1]Проект!#REF!</definedName>
    <definedName name="EST_ProdNum">[1]Проект!#REF!</definedName>
    <definedName name="IS_SUMM">[1]Опции!$B$10</definedName>
    <definedName name="LANGUAGE">[1]Проект!$D$17</definedName>
    <definedName name="NWC_T_Cr_AdvK">[1]Проект!$B$772</definedName>
    <definedName name="NWC_T_Cr_AdvT">[1]Проект!$C$772</definedName>
    <definedName name="NWC_T_Cr_CrdK">[1]Проект!$B$773</definedName>
    <definedName name="NWC_T_Cr_CrdT">[1]Проект!$C$773</definedName>
    <definedName name="NWC_T_Cycle">[1]Проект!$B$751</definedName>
    <definedName name="NWC_T_Db_AdvK">[1]Проект!$B$760</definedName>
    <definedName name="NWC_T_Db_AdvT">[1]Проект!$C$760</definedName>
    <definedName name="NWC_T_Db_CrdK">[1]Проект!$B$761</definedName>
    <definedName name="NWC_T_Db_CrdT">[1]Проект!$C$761</definedName>
    <definedName name="NWC_T_Goods">[1]Проект!$B$755</definedName>
    <definedName name="NWC_T_Mat">[1]Проект!$B$749</definedName>
    <definedName name="PeriodTitle">[1]Проект!$F$86:$L$86</definedName>
    <definedName name="PRJ_Len">[1]Проект!$D$8</definedName>
    <definedName name="PRJ_Protected">[1]Проект!$D$18</definedName>
    <definedName name="PRJ_StartDate">[1]Проект!$D$7</definedName>
    <definedName name="PRJ_StartMon">[1]Проект!$F$26</definedName>
    <definedName name="PRJ_StartYear">[1]Проект!$F$25</definedName>
    <definedName name="PRJ_Step">[1]Проект!$D$10</definedName>
    <definedName name="PRJ_Step_SName">[1]Проект!$E$9</definedName>
    <definedName name="PRJ_StepType">[1]Проект!$D$9</definedName>
    <definedName name="ProfitTax">[1]Проект!$B$945</definedName>
    <definedName name="ProfitTax_Period">[1]Проект!$B$946</definedName>
    <definedName name="season" localSheetId="0">'[2]1. Исходные данные'!#REF!</definedName>
    <definedName name="season" localSheetId="1">'[2]1. Исходные данные'!#REF!</definedName>
    <definedName name="season">'[2]1. Исходные данные'!#REF!</definedName>
    <definedName name="SENS_Parameter">[1]Анализ!$E$9</definedName>
    <definedName name="ShowRealDates">[1]Проект!$D$20</definedName>
    <definedName name="VAT">[1]Проект!$B$889</definedName>
    <definedName name="VAT_OnAssets">[1]Проект!$B$892</definedName>
    <definedName name="VAT_Period">[1]Проект!$B$890</definedName>
    <definedName name="VAT_Repay">[1]Проект!$B$891</definedName>
    <definedName name="апи" localSheetId="0">[3]Отчет!#REF!</definedName>
    <definedName name="апи" localSheetId="1">[3]Отчет!#REF!</definedName>
    <definedName name="апи">[3]Отчет!#REF!</definedName>
    <definedName name="_xlnm.Print_Titles" localSheetId="2">'Детальный расчет'!$A:$B</definedName>
    <definedName name="и" localSheetId="0">[3]Отчет!#REF!</definedName>
    <definedName name="и" localSheetId="1">[3]Отчет!#REF!</definedName>
    <definedName name="и">[3]Отчет!#REF!</definedName>
    <definedName name="_xlnm.Print_Area" localSheetId="2">'Детальный расчет'!$A$5:$AS$101</definedName>
    <definedName name="_xlnm.Print_Area" localSheetId="0">'Исходные данные'!$A$2:$O$82</definedName>
    <definedName name="_xlnm.Print_Area" localSheetId="1">'Обобщенный расчет'!$A$1:$H$63</definedName>
    <definedName name="п" localSheetId="0">[3]Отчет!#REF!</definedName>
    <definedName name="п" localSheetId="1">[3]Отчет!#REF!</definedName>
    <definedName name="п">[3]Отчет!#REF!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4" i="4"/>
  <c r="A64"/>
  <c r="G47" i="7"/>
  <c r="H47" s="1"/>
  <c r="X62" i="4" s="1"/>
  <c r="AH62" l="1"/>
  <c r="F62"/>
  <c r="AO62"/>
  <c r="AK62"/>
  <c r="AG62"/>
  <c r="AA62"/>
  <c r="W62"/>
  <c r="S62"/>
  <c r="N62"/>
  <c r="J62"/>
  <c r="AN62"/>
  <c r="AJ62"/>
  <c r="AF62"/>
  <c r="Z62"/>
  <c r="V62"/>
  <c r="R62"/>
  <c r="M62"/>
  <c r="I62"/>
  <c r="AM62"/>
  <c r="AI62"/>
  <c r="AE62"/>
  <c r="Y62"/>
  <c r="U62"/>
  <c r="Q62"/>
  <c r="L62"/>
  <c r="E62"/>
  <c r="G62"/>
  <c r="K62"/>
  <c r="AB62"/>
  <c r="AL62"/>
  <c r="C62"/>
  <c r="D62"/>
  <c r="H62"/>
  <c r="AP62"/>
  <c r="T62"/>
  <c r="B32"/>
  <c r="B31"/>
  <c r="B30"/>
  <c r="B29"/>
  <c r="B28"/>
  <c r="B27"/>
  <c r="B26"/>
  <c r="B22"/>
  <c r="B21"/>
  <c r="B20"/>
  <c r="G36" i="7"/>
  <c r="G35"/>
  <c r="C13"/>
  <c r="D13" s="1"/>
  <c r="A13"/>
  <c r="A22" i="4" s="1"/>
  <c r="A31" s="1"/>
  <c r="C9" i="7"/>
  <c r="D9" s="1"/>
  <c r="C10"/>
  <c r="D10" s="1"/>
  <c r="C11"/>
  <c r="D11" s="1"/>
  <c r="C12"/>
  <c r="D12" s="1"/>
  <c r="C8"/>
  <c r="D8" s="1"/>
  <c r="A9"/>
  <c r="A10"/>
  <c r="A11"/>
  <c r="A20" i="4" s="1"/>
  <c r="A29" s="1"/>
  <c r="A12" i="7"/>
  <c r="A21" i="4" s="1"/>
  <c r="A30" s="1"/>
  <c r="A8" i="7"/>
  <c r="C6"/>
  <c r="D7"/>
  <c r="J80" i="6"/>
  <c r="J76" l="1"/>
  <c r="J65"/>
  <c r="J64"/>
  <c r="R7" i="4"/>
  <c r="S7"/>
  <c r="T7"/>
  <c r="U7"/>
  <c r="V7"/>
  <c r="W7"/>
  <c r="X7"/>
  <c r="Y7"/>
  <c r="Z7"/>
  <c r="AA7"/>
  <c r="AB7"/>
  <c r="Q7"/>
  <c r="N7"/>
  <c r="M7"/>
  <c r="L7"/>
  <c r="K7"/>
  <c r="J7"/>
  <c r="I7"/>
  <c r="H7"/>
  <c r="G7"/>
  <c r="F7"/>
  <c r="E7"/>
  <c r="D7"/>
  <c r="C7"/>
  <c r="A20" i="6"/>
  <c r="A21"/>
  <c r="A22"/>
  <c r="A23"/>
  <c r="A24"/>
  <c r="A25"/>
  <c r="A26"/>
  <c r="A27"/>
  <c r="A28"/>
  <c r="A29"/>
  <c r="A30"/>
  <c r="A19"/>
  <c r="E11" l="1"/>
  <c r="E12"/>
  <c r="E13"/>
  <c r="E14"/>
  <c r="E15"/>
  <c r="AF9" i="4" l="1"/>
  <c r="AG9"/>
  <c r="AH9"/>
  <c r="AI9"/>
  <c r="AJ9"/>
  <c r="AK9"/>
  <c r="AL9"/>
  <c r="AM9"/>
  <c r="AN9"/>
  <c r="AO9"/>
  <c r="AP9"/>
  <c r="AE9"/>
  <c r="R9"/>
  <c r="S9"/>
  <c r="T9"/>
  <c r="U9"/>
  <c r="V9"/>
  <c r="W9"/>
  <c r="X9"/>
  <c r="Y9"/>
  <c r="Z9"/>
  <c r="AA9"/>
  <c r="AB9"/>
  <c r="Q9"/>
  <c r="AF7"/>
  <c r="AG7"/>
  <c r="AH7"/>
  <c r="AI7"/>
  <c r="AJ7"/>
  <c r="AK7"/>
  <c r="AL7"/>
  <c r="AM7"/>
  <c r="AN7"/>
  <c r="AO7"/>
  <c r="AP7"/>
  <c r="AE7"/>
  <c r="A19"/>
  <c r="A28" s="1"/>
  <c r="A18"/>
  <c r="A27" s="1"/>
  <c r="A17"/>
  <c r="A26" s="1"/>
  <c r="E10" i="6" l="1"/>
  <c r="D17" i="7" l="1"/>
  <c r="G32" s="1"/>
  <c r="J81" i="6"/>
  <c r="J66"/>
  <c r="J67"/>
  <c r="J68"/>
  <c r="J69"/>
  <c r="J70"/>
  <c r="J71"/>
  <c r="J72"/>
  <c r="J73"/>
  <c r="J74"/>
  <c r="J75"/>
  <c r="H55"/>
  <c r="H59"/>
  <c r="H58"/>
  <c r="E50"/>
  <c r="K41"/>
  <c r="K42"/>
  <c r="K43"/>
  <c r="K44"/>
  <c r="K45"/>
  <c r="K46"/>
  <c r="K47"/>
  <c r="K48"/>
  <c r="K49"/>
  <c r="K40"/>
  <c r="AN60" i="4" l="1"/>
  <c r="Q60"/>
  <c r="I60"/>
  <c r="C60"/>
  <c r="AK60"/>
  <c r="Z60"/>
  <c r="F60"/>
  <c r="AH60"/>
  <c r="W60"/>
  <c r="L60"/>
  <c r="AE60"/>
  <c r="T60"/>
  <c r="AN56"/>
  <c r="Q56"/>
  <c r="F56"/>
  <c r="AK56"/>
  <c r="Z56"/>
  <c r="I56"/>
  <c r="C56"/>
  <c r="T56"/>
  <c r="L56"/>
  <c r="AH56"/>
  <c r="W56"/>
  <c r="AE56"/>
  <c r="AO65"/>
  <c r="AK65"/>
  <c r="AG65"/>
  <c r="AB65"/>
  <c r="X65"/>
  <c r="T65"/>
  <c r="J65"/>
  <c r="D65"/>
  <c r="AN65"/>
  <c r="AJ65"/>
  <c r="AF65"/>
  <c r="AA65"/>
  <c r="W65"/>
  <c r="S65"/>
  <c r="N65"/>
  <c r="I65"/>
  <c r="H65"/>
  <c r="E65"/>
  <c r="AL65"/>
  <c r="Q65"/>
  <c r="L65"/>
  <c r="AM65"/>
  <c r="AI65"/>
  <c r="AE65"/>
  <c r="Z65"/>
  <c r="V65"/>
  <c r="R65"/>
  <c r="M65"/>
  <c r="G65"/>
  <c r="AP65"/>
  <c r="AH65"/>
  <c r="Y65"/>
  <c r="U65"/>
  <c r="K65"/>
  <c r="F65"/>
  <c r="C65"/>
  <c r="AF11" l="1"/>
  <c r="AG11"/>
  <c r="AH11"/>
  <c r="AI11"/>
  <c r="AJ11"/>
  <c r="AK11"/>
  <c r="AL11"/>
  <c r="AM11"/>
  <c r="AN11"/>
  <c r="AO11"/>
  <c r="AP11"/>
  <c r="AF12"/>
  <c r="AG12"/>
  <c r="AH12"/>
  <c r="AI12"/>
  <c r="AJ12"/>
  <c r="AK12"/>
  <c r="AL12"/>
  <c r="AM12"/>
  <c r="AN12"/>
  <c r="AO12"/>
  <c r="AP12"/>
  <c r="AF13"/>
  <c r="AG13"/>
  <c r="AH13"/>
  <c r="AI13"/>
  <c r="AJ13"/>
  <c r="AK13"/>
  <c r="AL13"/>
  <c r="AM13"/>
  <c r="AN13"/>
  <c r="AO13"/>
  <c r="AP13"/>
  <c r="AE13"/>
  <c r="AE12"/>
  <c r="AE11"/>
  <c r="R11"/>
  <c r="S11"/>
  <c r="T11"/>
  <c r="U11"/>
  <c r="V11"/>
  <c r="W11"/>
  <c r="X11"/>
  <c r="Y11"/>
  <c r="Z11"/>
  <c r="AA11"/>
  <c r="AB11"/>
  <c r="R12"/>
  <c r="S12"/>
  <c r="T12"/>
  <c r="U12"/>
  <c r="V12"/>
  <c r="W12"/>
  <c r="X12"/>
  <c r="Y12"/>
  <c r="Z12"/>
  <c r="AA12"/>
  <c r="AB12"/>
  <c r="R13"/>
  <c r="S13"/>
  <c r="T13"/>
  <c r="U13"/>
  <c r="V13"/>
  <c r="W13"/>
  <c r="X13"/>
  <c r="Y13"/>
  <c r="Z13"/>
  <c r="AA13"/>
  <c r="AB13"/>
  <c r="Q13"/>
  <c r="Q12"/>
  <c r="Q11"/>
  <c r="B25" i="7" l="1"/>
  <c r="D25"/>
  <c r="G25" s="1"/>
  <c r="A72" i="4"/>
  <c r="B91" l="1"/>
  <c r="AF10"/>
  <c r="AG10"/>
  <c r="AH10"/>
  <c r="AI10"/>
  <c r="AJ10"/>
  <c r="AK10"/>
  <c r="AL10"/>
  <c r="AM10"/>
  <c r="AN10"/>
  <c r="AO10"/>
  <c r="AP10"/>
  <c r="AE10"/>
  <c r="R10"/>
  <c r="S10"/>
  <c r="T10"/>
  <c r="U10"/>
  <c r="V10"/>
  <c r="W10"/>
  <c r="X10"/>
  <c r="Y10"/>
  <c r="Z10"/>
  <c r="AA10"/>
  <c r="AB10"/>
  <c r="Q10"/>
  <c r="G50" i="7"/>
  <c r="H50" s="1"/>
  <c r="B46"/>
  <c r="A61" i="4" s="1"/>
  <c r="B47" i="7"/>
  <c r="A62" i="4" s="1"/>
  <c r="A63"/>
  <c r="B50" i="7"/>
  <c r="A65" i="4" s="1"/>
  <c r="B44" i="7"/>
  <c r="A59" i="4" s="1"/>
  <c r="A60"/>
  <c r="B42" i="7"/>
  <c r="A57" i="4" s="1"/>
  <c r="B43" i="7"/>
  <c r="A58" i="4" s="1"/>
  <c r="B37" i="7"/>
  <c r="B38"/>
  <c r="B39"/>
  <c r="B40"/>
  <c r="B26" l="1"/>
  <c r="B27"/>
  <c r="B23"/>
  <c r="B24"/>
  <c r="G46" l="1"/>
  <c r="H46" s="1"/>
  <c r="AO61" i="4" l="1"/>
  <c r="AK61"/>
  <c r="AG61"/>
  <c r="AA61"/>
  <c r="W61"/>
  <c r="S61"/>
  <c r="M61"/>
  <c r="I61"/>
  <c r="AN61"/>
  <c r="AJ61"/>
  <c r="AF61"/>
  <c r="Z61"/>
  <c r="V61"/>
  <c r="R61"/>
  <c r="L61"/>
  <c r="AM61"/>
  <c r="AI61"/>
  <c r="AE61"/>
  <c r="Y61"/>
  <c r="U61"/>
  <c r="Q61"/>
  <c r="K61"/>
  <c r="AP61"/>
  <c r="N61"/>
  <c r="H61"/>
  <c r="E61"/>
  <c r="AL61"/>
  <c r="AB61"/>
  <c r="G61"/>
  <c r="J61"/>
  <c r="AH61"/>
  <c r="X61"/>
  <c r="F61"/>
  <c r="C61"/>
  <c r="T61"/>
  <c r="D61"/>
  <c r="G43" i="7"/>
  <c r="H43" s="1"/>
  <c r="G40"/>
  <c r="H40" s="1"/>
  <c r="G42"/>
  <c r="H42" s="1"/>
  <c r="G39"/>
  <c r="H39" s="1"/>
  <c r="G38"/>
  <c r="H38" s="1"/>
  <c r="H57" i="6"/>
  <c r="AO54" i="4" l="1"/>
  <c r="AK54"/>
  <c r="AG54"/>
  <c r="AA54"/>
  <c r="W54"/>
  <c r="S54"/>
  <c r="N54"/>
  <c r="J54"/>
  <c r="AN54"/>
  <c r="AJ54"/>
  <c r="AF54"/>
  <c r="Z54"/>
  <c r="V54"/>
  <c r="R54"/>
  <c r="M54"/>
  <c r="I54"/>
  <c r="AM54"/>
  <c r="AI54"/>
  <c r="AE54"/>
  <c r="Y54"/>
  <c r="U54"/>
  <c r="Q54"/>
  <c r="L54"/>
  <c r="AL54"/>
  <c r="AB54"/>
  <c r="K54"/>
  <c r="C54"/>
  <c r="AH54"/>
  <c r="X54"/>
  <c r="H54"/>
  <c r="D54"/>
  <c r="E54"/>
  <c r="AP54"/>
  <c r="T54"/>
  <c r="G54"/>
  <c r="F54"/>
  <c r="AO57"/>
  <c r="AK57"/>
  <c r="AG57"/>
  <c r="AA57"/>
  <c r="W57"/>
  <c r="S57"/>
  <c r="K57"/>
  <c r="AN57"/>
  <c r="AJ57"/>
  <c r="AF57"/>
  <c r="Z57"/>
  <c r="V57"/>
  <c r="R57"/>
  <c r="N57"/>
  <c r="J57"/>
  <c r="AM57"/>
  <c r="AI57"/>
  <c r="AE57"/>
  <c r="Y57"/>
  <c r="U57"/>
  <c r="Q57"/>
  <c r="M57"/>
  <c r="I57"/>
  <c r="T57"/>
  <c r="L57"/>
  <c r="F57"/>
  <c r="AP57"/>
  <c r="D57"/>
  <c r="C57"/>
  <c r="E57"/>
  <c r="AH57"/>
  <c r="X57"/>
  <c r="AL57"/>
  <c r="AB57"/>
  <c r="H57"/>
  <c r="G57"/>
  <c r="AO55"/>
  <c r="AK55"/>
  <c r="AG55"/>
  <c r="AA55"/>
  <c r="W55"/>
  <c r="S55"/>
  <c r="K55"/>
  <c r="AN55"/>
  <c r="AJ55"/>
  <c r="AF55"/>
  <c r="Z55"/>
  <c r="V55"/>
  <c r="R55"/>
  <c r="N55"/>
  <c r="J55"/>
  <c r="AM55"/>
  <c r="AI55"/>
  <c r="AE55"/>
  <c r="Y55"/>
  <c r="U55"/>
  <c r="Q55"/>
  <c r="M55"/>
  <c r="I55"/>
  <c r="AP55"/>
  <c r="F55"/>
  <c r="E55"/>
  <c r="AL55"/>
  <c r="AB55"/>
  <c r="T55"/>
  <c r="AH55"/>
  <c r="X55"/>
  <c r="L55"/>
  <c r="H55"/>
  <c r="G55"/>
  <c r="D55"/>
  <c r="C55"/>
  <c r="AO53"/>
  <c r="AK53"/>
  <c r="AG53"/>
  <c r="AA53"/>
  <c r="W53"/>
  <c r="S53"/>
  <c r="M53"/>
  <c r="I53"/>
  <c r="AN53"/>
  <c r="AJ53"/>
  <c r="AF53"/>
  <c r="Z53"/>
  <c r="V53"/>
  <c r="R53"/>
  <c r="L53"/>
  <c r="AM53"/>
  <c r="AI53"/>
  <c r="AE53"/>
  <c r="Y53"/>
  <c r="U53"/>
  <c r="Q53"/>
  <c r="K53"/>
  <c r="AH53"/>
  <c r="X53"/>
  <c r="H53"/>
  <c r="E53"/>
  <c r="T53"/>
  <c r="J53"/>
  <c r="G53"/>
  <c r="N53"/>
  <c r="AP53"/>
  <c r="F53"/>
  <c r="C53"/>
  <c r="AL53"/>
  <c r="AB53"/>
  <c r="D53"/>
  <c r="AO58"/>
  <c r="AK58"/>
  <c r="AG58"/>
  <c r="AA58"/>
  <c r="W58"/>
  <c r="S58"/>
  <c r="L58"/>
  <c r="AN58"/>
  <c r="AJ58"/>
  <c r="AF58"/>
  <c r="Z58"/>
  <c r="V58"/>
  <c r="R58"/>
  <c r="K58"/>
  <c r="AM58"/>
  <c r="AI58"/>
  <c r="AE58"/>
  <c r="Y58"/>
  <c r="U58"/>
  <c r="Q58"/>
  <c r="N58"/>
  <c r="J58"/>
  <c r="AH58"/>
  <c r="X58"/>
  <c r="G58"/>
  <c r="E58"/>
  <c r="T58"/>
  <c r="F58"/>
  <c r="C58"/>
  <c r="M58"/>
  <c r="AP58"/>
  <c r="I58"/>
  <c r="AL58"/>
  <c r="AB58"/>
  <c r="H58"/>
  <c r="D58"/>
  <c r="H56" i="6"/>
  <c r="G44" i="7"/>
  <c r="H44" s="1"/>
  <c r="AK63" i="4" l="1"/>
  <c r="AK74" s="1"/>
  <c r="W63"/>
  <c r="W74" s="1"/>
  <c r="F63"/>
  <c r="AE63"/>
  <c r="AE74" s="1"/>
  <c r="Z63"/>
  <c r="Z74" s="1"/>
  <c r="AH63"/>
  <c r="AH74" s="1"/>
  <c r="C63"/>
  <c r="AO63"/>
  <c r="AO74" s="1"/>
  <c r="D63"/>
  <c r="AA63"/>
  <c r="AA74" s="1"/>
  <c r="AL63"/>
  <c r="AL74" s="1"/>
  <c r="H63"/>
  <c r="AG63"/>
  <c r="AG74" s="1"/>
  <c r="AB63"/>
  <c r="AB74" s="1"/>
  <c r="AN63"/>
  <c r="AN74" s="1"/>
  <c r="S63"/>
  <c r="S74" s="1"/>
  <c r="L63"/>
  <c r="V63"/>
  <c r="V74" s="1"/>
  <c r="N63"/>
  <c r="T63"/>
  <c r="T74" s="1"/>
  <c r="AF63"/>
  <c r="AF74" s="1"/>
  <c r="K63"/>
  <c r="AI63"/>
  <c r="AI74" s="1"/>
  <c r="J63"/>
  <c r="X63"/>
  <c r="X74" s="1"/>
  <c r="G63"/>
  <c r="AJ63"/>
  <c r="AJ74" s="1"/>
  <c r="E63"/>
  <c r="Y63"/>
  <c r="Y74" s="1"/>
  <c r="AM63"/>
  <c r="AM74" s="1"/>
  <c r="R63"/>
  <c r="R74" s="1"/>
  <c r="U63"/>
  <c r="U74" s="1"/>
  <c r="I63"/>
  <c r="M63"/>
  <c r="Q63"/>
  <c r="Q74" s="1"/>
  <c r="AP63"/>
  <c r="AP74" s="1"/>
  <c r="AO59"/>
  <c r="AK59"/>
  <c r="AG59"/>
  <c r="AA59"/>
  <c r="W59"/>
  <c r="S59"/>
  <c r="M59"/>
  <c r="I59"/>
  <c r="AN59"/>
  <c r="AJ59"/>
  <c r="AF59"/>
  <c r="Z59"/>
  <c r="V59"/>
  <c r="R59"/>
  <c r="L59"/>
  <c r="AM59"/>
  <c r="AI59"/>
  <c r="AE59"/>
  <c r="Y59"/>
  <c r="U59"/>
  <c r="Q59"/>
  <c r="K59"/>
  <c r="AL59"/>
  <c r="AB59"/>
  <c r="H59"/>
  <c r="C59"/>
  <c r="AH59"/>
  <c r="X59"/>
  <c r="J59"/>
  <c r="G59"/>
  <c r="D59"/>
  <c r="E59"/>
  <c r="AP59"/>
  <c r="T59"/>
  <c r="N59"/>
  <c r="F59"/>
  <c r="AP91"/>
  <c r="AO91"/>
  <c r="AN91"/>
  <c r="AM91"/>
  <c r="AL91"/>
  <c r="AK91"/>
  <c r="AJ91"/>
  <c r="AI91"/>
  <c r="AH91"/>
  <c r="AG91"/>
  <c r="AF91"/>
  <c r="AE91"/>
  <c r="AB91"/>
  <c r="AA91"/>
  <c r="Z91"/>
  <c r="Y91"/>
  <c r="X91"/>
  <c r="W91"/>
  <c r="V91"/>
  <c r="U91"/>
  <c r="T91"/>
  <c r="S91"/>
  <c r="R91"/>
  <c r="Q91"/>
  <c r="D91"/>
  <c r="E91"/>
  <c r="F91"/>
  <c r="G91"/>
  <c r="H91"/>
  <c r="I91"/>
  <c r="J91"/>
  <c r="K91"/>
  <c r="L91"/>
  <c r="M91"/>
  <c r="N91"/>
  <c r="C91"/>
  <c r="AS34" l="1"/>
  <c r="AR34"/>
  <c r="AQ34"/>
  <c r="AD34"/>
  <c r="AC34"/>
  <c r="P34"/>
  <c r="O34"/>
  <c r="AQ39"/>
  <c r="AC39"/>
  <c r="B36" i="7"/>
  <c r="A51" i="4" s="1"/>
  <c r="B35" i="7"/>
  <c r="D19"/>
  <c r="G19" s="1"/>
  <c r="D20"/>
  <c r="G20" s="1"/>
  <c r="D21"/>
  <c r="G21" s="1"/>
  <c r="D23"/>
  <c r="G23" s="1"/>
  <c r="D24"/>
  <c r="G24" s="1"/>
  <c r="D27"/>
  <c r="G27" s="1"/>
  <c r="D18"/>
  <c r="G18" s="1"/>
  <c r="B22"/>
  <c r="A39" i="4" s="1"/>
  <c r="G37" i="7"/>
  <c r="H37" s="1"/>
  <c r="AO52" i="4" l="1"/>
  <c r="AK52"/>
  <c r="AG52"/>
  <c r="AA52"/>
  <c r="W52"/>
  <c r="S52"/>
  <c r="L52"/>
  <c r="AN52"/>
  <c r="AJ52"/>
  <c r="AF52"/>
  <c r="Z52"/>
  <c r="V52"/>
  <c r="R52"/>
  <c r="K52"/>
  <c r="AM52"/>
  <c r="AI52"/>
  <c r="AE52"/>
  <c r="Y52"/>
  <c r="U52"/>
  <c r="Q52"/>
  <c r="N52"/>
  <c r="J52"/>
  <c r="T52"/>
  <c r="M52"/>
  <c r="G52"/>
  <c r="AP52"/>
  <c r="F52"/>
  <c r="D52"/>
  <c r="E52"/>
  <c r="AH52"/>
  <c r="X52"/>
  <c r="H52"/>
  <c r="C52"/>
  <c r="AL52"/>
  <c r="AB52"/>
  <c r="I52"/>
  <c r="AQ57"/>
  <c r="AR57" s="1"/>
  <c r="AC57"/>
  <c r="AD57" s="1"/>
  <c r="O57"/>
  <c r="P57" s="1"/>
  <c r="D26" i="7"/>
  <c r="G26" s="1"/>
  <c r="AC74" i="4" l="1"/>
  <c r="AD74" s="1"/>
  <c r="AQ74"/>
  <c r="AR74" s="1"/>
  <c r="AS57"/>
  <c r="D22" i="7"/>
  <c r="E38" i="6"/>
  <c r="D28" i="7" l="1"/>
  <c r="G22"/>
  <c r="AC38" i="4"/>
  <c r="AQ38"/>
  <c r="AC37"/>
  <c r="AQ37"/>
  <c r="C37"/>
  <c r="B21" i="7"/>
  <c r="A38" i="4" s="1"/>
  <c r="B20" i="7"/>
  <c r="A37" i="4" s="1"/>
  <c r="T3" i="6"/>
  <c r="A50" i="4"/>
  <c r="A49"/>
  <c r="A44"/>
  <c r="A43"/>
  <c r="A42"/>
  <c r="A41"/>
  <c r="A40"/>
  <c r="B19" i="7"/>
  <c r="A36" i="4" s="1"/>
  <c r="C3"/>
  <c r="A56"/>
  <c r="A55"/>
  <c r="A54"/>
  <c r="A53"/>
  <c r="A52"/>
  <c r="AQ42"/>
  <c r="AQ41"/>
  <c r="AQ40"/>
  <c r="AC42"/>
  <c r="AC41"/>
  <c r="AC40"/>
  <c r="B18" i="7"/>
  <c r="A35" i="4" s="1"/>
  <c r="E3" i="7"/>
  <c r="T5" i="6"/>
  <c r="T4"/>
  <c r="AQ36" i="4"/>
  <c r="AC36"/>
  <c r="AC35"/>
  <c r="AQ35"/>
  <c r="O86"/>
  <c r="AS86" s="1"/>
  <c r="AS48"/>
  <c r="AS68" s="1"/>
  <c r="AS80" s="1"/>
  <c r="AR48"/>
  <c r="AR68" s="1"/>
  <c r="AR80" s="1"/>
  <c r="AQ48"/>
  <c r="AQ68" s="1"/>
  <c r="AQ80" s="1"/>
  <c r="AD48"/>
  <c r="AD68" s="1"/>
  <c r="AD80" s="1"/>
  <c r="AC48"/>
  <c r="AC68" s="1"/>
  <c r="AC80" s="1"/>
  <c r="P48"/>
  <c r="O48"/>
  <c r="O68" s="1"/>
  <c r="O80" s="1"/>
  <c r="A77"/>
  <c r="A70"/>
  <c r="C2"/>
  <c r="AC43"/>
  <c r="AQ43"/>
  <c r="C8" l="1"/>
  <c r="H7" i="7"/>
  <c r="B17" i="4"/>
  <c r="K50" i="6"/>
  <c r="B81" i="4"/>
  <c r="B78"/>
  <c r="B77"/>
  <c r="J63" i="6"/>
  <c r="P68" i="4"/>
  <c r="P80" s="1"/>
  <c r="B58"/>
  <c r="B63"/>
  <c r="A98"/>
  <c r="E9" i="6"/>
  <c r="B52" i="4"/>
  <c r="B86"/>
  <c r="B49"/>
  <c r="B66"/>
  <c r="K39" i="6"/>
  <c r="H54"/>
  <c r="A96" i="4"/>
  <c r="B85"/>
  <c r="A95"/>
  <c r="A94"/>
  <c r="A93"/>
  <c r="B51"/>
  <c r="B57"/>
  <c r="B39"/>
  <c r="G17" i="7"/>
  <c r="H32" s="1"/>
  <c r="F7"/>
  <c r="C42" i="4"/>
  <c r="O42" s="1"/>
  <c r="AS42" s="1"/>
  <c r="C38"/>
  <c r="O38" s="1"/>
  <c r="AS38" s="1"/>
  <c r="C40"/>
  <c r="O40" s="1"/>
  <c r="AS40" s="1"/>
  <c r="C44"/>
  <c r="C39"/>
  <c r="C35"/>
  <c r="O35" s="1"/>
  <c r="C43"/>
  <c r="O43" s="1"/>
  <c r="AS43" s="1"/>
  <c r="C41"/>
  <c r="O41" s="1"/>
  <c r="AS41" s="1"/>
  <c r="C36"/>
  <c r="O36" s="1"/>
  <c r="AS36" s="1"/>
  <c r="B41"/>
  <c r="B55"/>
  <c r="B75"/>
  <c r="B59"/>
  <c r="E2" i="7"/>
  <c r="B23" i="4"/>
  <c r="B50"/>
  <c r="B71"/>
  <c r="B61"/>
  <c r="B37"/>
  <c r="B35"/>
  <c r="B43"/>
  <c r="B53"/>
  <c r="B69"/>
  <c r="B72"/>
  <c r="B82"/>
  <c r="B87"/>
  <c r="B56"/>
  <c r="B40"/>
  <c r="B18"/>
  <c r="B44"/>
  <c r="B65"/>
  <c r="B62"/>
  <c r="B36"/>
  <c r="B45"/>
  <c r="B54"/>
  <c r="B70"/>
  <c r="B83"/>
  <c r="B84"/>
  <c r="B60"/>
  <c r="B42"/>
  <c r="B19"/>
  <c r="B38"/>
  <c r="D3"/>
  <c r="C6"/>
  <c r="C25" s="1"/>
  <c r="C21" l="1"/>
  <c r="C30" s="1"/>
  <c r="C17"/>
  <c r="C26" s="1"/>
  <c r="C20"/>
  <c r="C29" s="1"/>
  <c r="C22"/>
  <c r="C31" s="1"/>
  <c r="C19"/>
  <c r="C28" s="1"/>
  <c r="C18"/>
  <c r="C27" s="1"/>
  <c r="D8"/>
  <c r="F53" i="7"/>
  <c r="O39" i="4"/>
  <c r="AS39" s="1"/>
  <c r="C45"/>
  <c r="C85" s="1"/>
  <c r="O61"/>
  <c r="P61" s="1"/>
  <c r="G28" i="7"/>
  <c r="AQ53" i="4"/>
  <c r="AR53" s="1"/>
  <c r="AQ58"/>
  <c r="AR58" s="1"/>
  <c r="AQ61"/>
  <c r="AR61" s="1"/>
  <c r="E3"/>
  <c r="D6"/>
  <c r="D25" s="1"/>
  <c r="AQ56"/>
  <c r="AR56" s="1"/>
  <c r="AC53"/>
  <c r="AD53" s="1"/>
  <c r="AQ55"/>
  <c r="AR55" s="1"/>
  <c r="AC55"/>
  <c r="AD55" s="1"/>
  <c r="O65"/>
  <c r="AQ65"/>
  <c r="AR65" s="1"/>
  <c r="O54"/>
  <c r="AC54"/>
  <c r="AD54" s="1"/>
  <c r="AS35"/>
  <c r="O53"/>
  <c r="AC61"/>
  <c r="AD61" s="1"/>
  <c r="AC65"/>
  <c r="AD65" s="1"/>
  <c r="AC58"/>
  <c r="AD58" s="1"/>
  <c r="AQ52"/>
  <c r="AR52" s="1"/>
  <c r="O58"/>
  <c r="AQ59"/>
  <c r="AR59" s="1"/>
  <c r="AC56"/>
  <c r="AD56" s="1"/>
  <c r="O55"/>
  <c r="O52"/>
  <c r="AC52"/>
  <c r="AD52" s="1"/>
  <c r="AQ54"/>
  <c r="AR54" s="1"/>
  <c r="AC59"/>
  <c r="AD59" s="1"/>
  <c r="C80"/>
  <c r="C89"/>
  <c r="C16"/>
  <c r="C34"/>
  <c r="C68"/>
  <c r="C48"/>
  <c r="C23" l="1"/>
  <c r="C64" s="1"/>
  <c r="D19"/>
  <c r="D28" s="1"/>
  <c r="D22"/>
  <c r="D31" s="1"/>
  <c r="D18"/>
  <c r="D27" s="1"/>
  <c r="D21"/>
  <c r="D30" s="1"/>
  <c r="D17"/>
  <c r="D26" s="1"/>
  <c r="D20"/>
  <c r="D29" s="1"/>
  <c r="C32"/>
  <c r="C70" s="1"/>
  <c r="E8"/>
  <c r="P55"/>
  <c r="AS55"/>
  <c r="AS53"/>
  <c r="P53"/>
  <c r="AS54"/>
  <c r="P54"/>
  <c r="AS61"/>
  <c r="O37"/>
  <c r="E6"/>
  <c r="E25" s="1"/>
  <c r="F3"/>
  <c r="P52"/>
  <c r="AS52"/>
  <c r="AS58"/>
  <c r="P58"/>
  <c r="AS65"/>
  <c r="P65"/>
  <c r="D80"/>
  <c r="D34"/>
  <c r="D68"/>
  <c r="D48"/>
  <c r="D89"/>
  <c r="D16"/>
  <c r="C49" l="1"/>
  <c r="E21"/>
  <c r="E30" s="1"/>
  <c r="E17"/>
  <c r="E26" s="1"/>
  <c r="E20"/>
  <c r="E29" s="1"/>
  <c r="E22"/>
  <c r="E31" s="1"/>
  <c r="E19"/>
  <c r="E28" s="1"/>
  <c r="E18"/>
  <c r="E27" s="1"/>
  <c r="D23"/>
  <c r="D32"/>
  <c r="D70" s="1"/>
  <c r="F8"/>
  <c r="AC60"/>
  <c r="AD60" s="1"/>
  <c r="C69"/>
  <c r="AS37"/>
  <c r="E80"/>
  <c r="E16"/>
  <c r="E34"/>
  <c r="E89"/>
  <c r="E68"/>
  <c r="E48"/>
  <c r="C84"/>
  <c r="C77"/>
  <c r="AQ60"/>
  <c r="AR60" s="1"/>
  <c r="F6"/>
  <c r="F25" s="1"/>
  <c r="G3"/>
  <c r="D64" l="1"/>
  <c r="D49"/>
  <c r="D69"/>
  <c r="D81" s="1"/>
  <c r="F19"/>
  <c r="F28" s="1"/>
  <c r="F20"/>
  <c r="F29" s="1"/>
  <c r="F21"/>
  <c r="F30" s="1"/>
  <c r="F22"/>
  <c r="F31" s="1"/>
  <c r="F17"/>
  <c r="F26" s="1"/>
  <c r="F18"/>
  <c r="F27" s="1"/>
  <c r="E32"/>
  <c r="E70" s="1"/>
  <c r="E23"/>
  <c r="G8"/>
  <c r="H3"/>
  <c r="G6"/>
  <c r="G25" s="1"/>
  <c r="F34"/>
  <c r="F80"/>
  <c r="F89"/>
  <c r="F68"/>
  <c r="F16"/>
  <c r="F48"/>
  <c r="D71"/>
  <c r="C81"/>
  <c r="C71"/>
  <c r="E64" l="1"/>
  <c r="E49"/>
  <c r="E69"/>
  <c r="E81" s="1"/>
  <c r="F23"/>
  <c r="G21"/>
  <c r="G30" s="1"/>
  <c r="G22"/>
  <c r="G31" s="1"/>
  <c r="G17"/>
  <c r="G26" s="1"/>
  <c r="G18"/>
  <c r="G27" s="1"/>
  <c r="G20"/>
  <c r="G29" s="1"/>
  <c r="G19"/>
  <c r="G28" s="1"/>
  <c r="F32"/>
  <c r="F70" s="1"/>
  <c r="H8"/>
  <c r="AC44"/>
  <c r="I3"/>
  <c r="H6"/>
  <c r="H25" s="1"/>
  <c r="O44"/>
  <c r="G80"/>
  <c r="G89"/>
  <c r="G68"/>
  <c r="G16"/>
  <c r="G34"/>
  <c r="G48"/>
  <c r="E71" l="1"/>
  <c r="F64"/>
  <c r="F49"/>
  <c r="F69"/>
  <c r="F81" s="1"/>
  <c r="G23"/>
  <c r="G69" s="1"/>
  <c r="H17"/>
  <c r="H26" s="1"/>
  <c r="H19"/>
  <c r="H28" s="1"/>
  <c r="H22"/>
  <c r="H31" s="1"/>
  <c r="H21"/>
  <c r="H30" s="1"/>
  <c r="H18"/>
  <c r="H27" s="1"/>
  <c r="H20"/>
  <c r="H29" s="1"/>
  <c r="G32"/>
  <c r="G70" s="1"/>
  <c r="I8"/>
  <c r="H80"/>
  <c r="H89"/>
  <c r="H34"/>
  <c r="H16"/>
  <c r="H68"/>
  <c r="H48"/>
  <c r="AQ44"/>
  <c r="AS44" s="1"/>
  <c r="I6"/>
  <c r="I25" s="1"/>
  <c r="J3"/>
  <c r="F71" l="1"/>
  <c r="G64"/>
  <c r="G49"/>
  <c r="H32"/>
  <c r="H70" s="1"/>
  <c r="H23"/>
  <c r="I19"/>
  <c r="I28" s="1"/>
  <c r="I17"/>
  <c r="I26" s="1"/>
  <c r="I21"/>
  <c r="I30" s="1"/>
  <c r="I22"/>
  <c r="I31" s="1"/>
  <c r="I18"/>
  <c r="I27" s="1"/>
  <c r="I20"/>
  <c r="I29" s="1"/>
  <c r="J8"/>
  <c r="H69"/>
  <c r="H81" s="1"/>
  <c r="G81"/>
  <c r="G71"/>
  <c r="I68"/>
  <c r="I34"/>
  <c r="I48"/>
  <c r="I16"/>
  <c r="I89"/>
  <c r="I80"/>
  <c r="J6"/>
  <c r="J25" s="1"/>
  <c r="K3"/>
  <c r="H64" l="1"/>
  <c r="H49"/>
  <c r="I32"/>
  <c r="I70" s="1"/>
  <c r="J19"/>
  <c r="J28" s="1"/>
  <c r="J18"/>
  <c r="J27" s="1"/>
  <c r="J20"/>
  <c r="J29" s="1"/>
  <c r="J21"/>
  <c r="J30" s="1"/>
  <c r="J22"/>
  <c r="J31" s="1"/>
  <c r="J17"/>
  <c r="I23"/>
  <c r="K8"/>
  <c r="H71"/>
  <c r="J16"/>
  <c r="J89"/>
  <c r="J34"/>
  <c r="J68"/>
  <c r="J80"/>
  <c r="J48"/>
  <c r="L3"/>
  <c r="K6"/>
  <c r="K25" s="1"/>
  <c r="I64" l="1"/>
  <c r="I49"/>
  <c r="J23"/>
  <c r="J26"/>
  <c r="J32" s="1"/>
  <c r="J70" s="1"/>
  <c r="I69"/>
  <c r="I71" s="1"/>
  <c r="K17"/>
  <c r="K26" s="1"/>
  <c r="K19"/>
  <c r="K28" s="1"/>
  <c r="K20"/>
  <c r="K29" s="1"/>
  <c r="K22"/>
  <c r="K31" s="1"/>
  <c r="K21"/>
  <c r="K30" s="1"/>
  <c r="K18"/>
  <c r="K27" s="1"/>
  <c r="L8"/>
  <c r="I81"/>
  <c r="J69"/>
  <c r="J81" s="1"/>
  <c r="K68"/>
  <c r="K48"/>
  <c r="K34"/>
  <c r="K16"/>
  <c r="K89"/>
  <c r="K80"/>
  <c r="M3"/>
  <c r="L6"/>
  <c r="L25" s="1"/>
  <c r="J64" l="1"/>
  <c r="J49"/>
  <c r="L19"/>
  <c r="L28" s="1"/>
  <c r="L20"/>
  <c r="L29" s="1"/>
  <c r="L21"/>
  <c r="L30" s="1"/>
  <c r="L22"/>
  <c r="L31" s="1"/>
  <c r="L17"/>
  <c r="L26" s="1"/>
  <c r="L18"/>
  <c r="L27" s="1"/>
  <c r="K23"/>
  <c r="K32"/>
  <c r="K70" s="1"/>
  <c r="M8"/>
  <c r="J71"/>
  <c r="M6"/>
  <c r="M25" s="1"/>
  <c r="N3"/>
  <c r="L89"/>
  <c r="L16"/>
  <c r="L34"/>
  <c r="L68"/>
  <c r="L80"/>
  <c r="L48"/>
  <c r="K64" l="1"/>
  <c r="K49"/>
  <c r="K69"/>
  <c r="M22"/>
  <c r="M31" s="1"/>
  <c r="M21"/>
  <c r="M30" s="1"/>
  <c r="M18"/>
  <c r="M27" s="1"/>
  <c r="M17"/>
  <c r="M26" s="1"/>
  <c r="M20"/>
  <c r="M29" s="1"/>
  <c r="M19"/>
  <c r="M28" s="1"/>
  <c r="L23"/>
  <c r="L32"/>
  <c r="L70" s="1"/>
  <c r="N8"/>
  <c r="K81"/>
  <c r="K71"/>
  <c r="N6"/>
  <c r="N25" s="1"/>
  <c r="Q3"/>
  <c r="M34"/>
  <c r="M16"/>
  <c r="M68"/>
  <c r="M48"/>
  <c r="M89"/>
  <c r="M80"/>
  <c r="L64" l="1"/>
  <c r="L49"/>
  <c r="M32"/>
  <c r="M70" s="1"/>
  <c r="L69"/>
  <c r="L71" s="1"/>
  <c r="N21"/>
  <c r="N17"/>
  <c r="N26" s="1"/>
  <c r="N19"/>
  <c r="N28" s="1"/>
  <c r="O28" s="1"/>
  <c r="N22"/>
  <c r="N18"/>
  <c r="N27" s="1"/>
  <c r="O27" s="1"/>
  <c r="N20"/>
  <c r="M23"/>
  <c r="Q8"/>
  <c r="O18"/>
  <c r="L81"/>
  <c r="R3"/>
  <c r="Q6"/>
  <c r="Q25" s="1"/>
  <c r="N68"/>
  <c r="N16"/>
  <c r="N48"/>
  <c r="N80"/>
  <c r="N34"/>
  <c r="N89"/>
  <c r="M64" l="1"/>
  <c r="M49"/>
  <c r="O17"/>
  <c r="O22"/>
  <c r="P22" s="1"/>
  <c r="N31"/>
  <c r="O31" s="1"/>
  <c r="P31" s="1"/>
  <c r="O19"/>
  <c r="P19" s="1"/>
  <c r="O20"/>
  <c r="P20" s="1"/>
  <c r="N29"/>
  <c r="O29" s="1"/>
  <c r="P29" s="1"/>
  <c r="M69"/>
  <c r="M81" s="1"/>
  <c r="O21"/>
  <c r="P21" s="1"/>
  <c r="N30"/>
  <c r="O30" s="1"/>
  <c r="P30" s="1"/>
  <c r="Q21"/>
  <c r="Q30" s="1"/>
  <c r="Q22"/>
  <c r="Q31" s="1"/>
  <c r="Q19"/>
  <c r="Q28" s="1"/>
  <c r="Q20"/>
  <c r="Q29" s="1"/>
  <c r="Q18"/>
  <c r="Q27" s="1"/>
  <c r="Q17"/>
  <c r="P28"/>
  <c r="P27"/>
  <c r="O26"/>
  <c r="N23"/>
  <c r="P17"/>
  <c r="R8"/>
  <c r="P18"/>
  <c r="S3"/>
  <c r="R6"/>
  <c r="R25" s="1"/>
  <c r="Q89"/>
  <c r="Q34"/>
  <c r="Q80"/>
  <c r="Q68"/>
  <c r="Q16"/>
  <c r="Q48"/>
  <c r="N64" l="1"/>
  <c r="O64" s="1"/>
  <c r="N49"/>
  <c r="O49" s="1"/>
  <c r="P49" s="1"/>
  <c r="H34" i="7" s="1"/>
  <c r="G34" s="1"/>
  <c r="H10"/>
  <c r="F10"/>
  <c r="E10" s="1"/>
  <c r="O23" i="4"/>
  <c r="Q23"/>
  <c r="Q26"/>
  <c r="H11" i="7"/>
  <c r="F11"/>
  <c r="H13"/>
  <c r="G13" s="1"/>
  <c r="F13"/>
  <c r="E13" s="1"/>
  <c r="M71" i="4"/>
  <c r="F8" i="7"/>
  <c r="N69" i="4"/>
  <c r="F9" i="7"/>
  <c r="E9" s="1"/>
  <c r="H9"/>
  <c r="N32" i="4"/>
  <c r="N70" s="1"/>
  <c r="O70" s="1"/>
  <c r="P70" s="1"/>
  <c r="F12" i="7"/>
  <c r="E12" s="1"/>
  <c r="H12"/>
  <c r="G12" s="1"/>
  <c r="O32" i="4"/>
  <c r="P26"/>
  <c r="P32" s="1"/>
  <c r="H33" i="7" s="1"/>
  <c r="Q32" i="4"/>
  <c r="R20"/>
  <c r="R29" s="1"/>
  <c r="R19"/>
  <c r="R28" s="1"/>
  <c r="R22"/>
  <c r="R31" s="1"/>
  <c r="R18"/>
  <c r="R27" s="1"/>
  <c r="R21"/>
  <c r="R30" s="1"/>
  <c r="R17"/>
  <c r="R26" s="1"/>
  <c r="P23"/>
  <c r="S8"/>
  <c r="Q69"/>
  <c r="N81"/>
  <c r="O81" s="1"/>
  <c r="O69"/>
  <c r="R80"/>
  <c r="R48"/>
  <c r="R89"/>
  <c r="R16"/>
  <c r="R34"/>
  <c r="R68"/>
  <c r="S6"/>
  <c r="S25" s="1"/>
  <c r="T3"/>
  <c r="N71" l="1"/>
  <c r="Q64"/>
  <c r="Q49"/>
  <c r="G33" i="7"/>
  <c r="D33"/>
  <c r="P64" i="4"/>
  <c r="H49" i="7" s="1"/>
  <c r="G49" s="1"/>
  <c r="D39"/>
  <c r="D44"/>
  <c r="D50"/>
  <c r="D38"/>
  <c r="D43"/>
  <c r="D49"/>
  <c r="D40"/>
  <c r="D37"/>
  <c r="D42"/>
  <c r="D46"/>
  <c r="Q70" i="4"/>
  <c r="H8" i="7"/>
  <c r="S20" i="4"/>
  <c r="S29" s="1"/>
  <c r="S19"/>
  <c r="S28" s="1"/>
  <c r="S22"/>
  <c r="S31" s="1"/>
  <c r="S18"/>
  <c r="S27" s="1"/>
  <c r="S21"/>
  <c r="S30" s="1"/>
  <c r="S17"/>
  <c r="S26" s="1"/>
  <c r="R32"/>
  <c r="R23"/>
  <c r="E8" i="7"/>
  <c r="T8" i="4"/>
  <c r="E11" i="7"/>
  <c r="D34"/>
  <c r="O71" i="4"/>
  <c r="P81"/>
  <c r="Q81"/>
  <c r="Q71"/>
  <c r="P69"/>
  <c r="T6"/>
  <c r="T25" s="1"/>
  <c r="U3"/>
  <c r="S68"/>
  <c r="S80"/>
  <c r="S48"/>
  <c r="S89"/>
  <c r="S34"/>
  <c r="S16"/>
  <c r="R64" l="1"/>
  <c r="R49"/>
  <c r="R70"/>
  <c r="R69"/>
  <c r="T19"/>
  <c r="T28" s="1"/>
  <c r="T22"/>
  <c r="T31" s="1"/>
  <c r="T18"/>
  <c r="T27" s="1"/>
  <c r="T21"/>
  <c r="T30" s="1"/>
  <c r="T17"/>
  <c r="T26" s="1"/>
  <c r="T20"/>
  <c r="T29" s="1"/>
  <c r="S23"/>
  <c r="S32"/>
  <c r="E14" i="7"/>
  <c r="F14"/>
  <c r="U8" i="4"/>
  <c r="P71"/>
  <c r="R81"/>
  <c r="V3"/>
  <c r="U6"/>
  <c r="U25" s="1"/>
  <c r="T68"/>
  <c r="T80"/>
  <c r="T48"/>
  <c r="T34"/>
  <c r="T16"/>
  <c r="T89"/>
  <c r="R71" l="1"/>
  <c r="S64"/>
  <c r="S49"/>
  <c r="S69"/>
  <c r="S81" s="1"/>
  <c r="S70"/>
  <c r="U21"/>
  <c r="U30" s="1"/>
  <c r="U19"/>
  <c r="U28" s="1"/>
  <c r="U20"/>
  <c r="U29" s="1"/>
  <c r="U17"/>
  <c r="U18"/>
  <c r="U27" s="1"/>
  <c r="U22"/>
  <c r="U31" s="1"/>
  <c r="T23"/>
  <c r="T32"/>
  <c r="V8"/>
  <c r="W3"/>
  <c r="V6"/>
  <c r="V25" s="1"/>
  <c r="U89"/>
  <c r="U34"/>
  <c r="U80"/>
  <c r="U48"/>
  <c r="U68"/>
  <c r="U16"/>
  <c r="T64" l="1"/>
  <c r="T49"/>
  <c r="S71"/>
  <c r="T70"/>
  <c r="U23"/>
  <c r="U26"/>
  <c r="U32" s="1"/>
  <c r="T69"/>
  <c r="T81" s="1"/>
  <c r="V20"/>
  <c r="V29" s="1"/>
  <c r="V19"/>
  <c r="V28" s="1"/>
  <c r="V22"/>
  <c r="V31" s="1"/>
  <c r="V18"/>
  <c r="V27" s="1"/>
  <c r="V21"/>
  <c r="V30" s="1"/>
  <c r="V17"/>
  <c r="V26" s="1"/>
  <c r="W8"/>
  <c r="V16"/>
  <c r="V48"/>
  <c r="V89"/>
  <c r="V80"/>
  <c r="V68"/>
  <c r="V34"/>
  <c r="W6"/>
  <c r="W25" s="1"/>
  <c r="X3"/>
  <c r="U64" l="1"/>
  <c r="U49"/>
  <c r="T71"/>
  <c r="U70"/>
  <c r="U69"/>
  <c r="U81" s="1"/>
  <c r="W20"/>
  <c r="W29" s="1"/>
  <c r="W19"/>
  <c r="W28" s="1"/>
  <c r="W22"/>
  <c r="W31" s="1"/>
  <c r="W18"/>
  <c r="W27" s="1"/>
  <c r="W21"/>
  <c r="W30" s="1"/>
  <c r="W17"/>
  <c r="W26" s="1"/>
  <c r="V23"/>
  <c r="V32"/>
  <c r="X8"/>
  <c r="W89"/>
  <c r="W16"/>
  <c r="W68"/>
  <c r="W80"/>
  <c r="W34"/>
  <c r="W48"/>
  <c r="Y3"/>
  <c r="X6"/>
  <c r="X25" s="1"/>
  <c r="V64" l="1"/>
  <c r="V49"/>
  <c r="U71"/>
  <c r="V70"/>
  <c r="X19"/>
  <c r="X28" s="1"/>
  <c r="X22"/>
  <c r="X31" s="1"/>
  <c r="X18"/>
  <c r="X27" s="1"/>
  <c r="X21"/>
  <c r="X30" s="1"/>
  <c r="X17"/>
  <c r="X26" s="1"/>
  <c r="X20"/>
  <c r="X29" s="1"/>
  <c r="W23"/>
  <c r="V69"/>
  <c r="V81" s="1"/>
  <c r="W32"/>
  <c r="Y8"/>
  <c r="Z3"/>
  <c r="Y6"/>
  <c r="Y25" s="1"/>
  <c r="X48"/>
  <c r="X68"/>
  <c r="X16"/>
  <c r="X89"/>
  <c r="X34"/>
  <c r="X80"/>
  <c r="V71" l="1"/>
  <c r="W64"/>
  <c r="W49"/>
  <c r="W69"/>
  <c r="W70"/>
  <c r="X32"/>
  <c r="Y20"/>
  <c r="Y29" s="1"/>
  <c r="Y21"/>
  <c r="Y30" s="1"/>
  <c r="Y19"/>
  <c r="Y28" s="1"/>
  <c r="Y17"/>
  <c r="Y26" s="1"/>
  <c r="Y18"/>
  <c r="Y27" s="1"/>
  <c r="Y22"/>
  <c r="Y31" s="1"/>
  <c r="X23"/>
  <c r="Z8"/>
  <c r="W81"/>
  <c r="Y16"/>
  <c r="Y68"/>
  <c r="Y34"/>
  <c r="Y80"/>
  <c r="Y89"/>
  <c r="Y48"/>
  <c r="AA3"/>
  <c r="Z6"/>
  <c r="Z25" s="1"/>
  <c r="Y32" l="1"/>
  <c r="X64"/>
  <c r="X49"/>
  <c r="X69"/>
  <c r="W71"/>
  <c r="X70"/>
  <c r="Y70"/>
  <c r="Y23"/>
  <c r="Z20"/>
  <c r="Z29" s="1"/>
  <c r="Z19"/>
  <c r="Z28" s="1"/>
  <c r="Z22"/>
  <c r="Z31" s="1"/>
  <c r="Z18"/>
  <c r="Z27" s="1"/>
  <c r="Z21"/>
  <c r="Z30" s="1"/>
  <c r="Z17"/>
  <c r="Z26" s="1"/>
  <c r="AA8"/>
  <c r="X81"/>
  <c r="X71"/>
  <c r="Z16"/>
  <c r="Z48"/>
  <c r="Z68"/>
  <c r="Z80"/>
  <c r="Z34"/>
  <c r="Z89"/>
  <c r="AA6"/>
  <c r="AA25" s="1"/>
  <c r="AB3"/>
  <c r="Y64" l="1"/>
  <c r="Y49"/>
  <c r="Y69"/>
  <c r="Y81" s="1"/>
  <c r="AA19"/>
  <c r="AA28" s="1"/>
  <c r="AA22"/>
  <c r="AA31" s="1"/>
  <c r="AA18"/>
  <c r="AA27" s="1"/>
  <c r="AA21"/>
  <c r="AA30" s="1"/>
  <c r="AA17"/>
  <c r="AA20"/>
  <c r="AA29" s="1"/>
  <c r="Z23"/>
  <c r="Z32"/>
  <c r="AB8"/>
  <c r="AA89"/>
  <c r="AA16"/>
  <c r="AA80"/>
  <c r="AA68"/>
  <c r="AA34"/>
  <c r="AA48"/>
  <c r="AE3"/>
  <c r="AB6"/>
  <c r="AB25" s="1"/>
  <c r="Z64" l="1"/>
  <c r="Z49"/>
  <c r="Y71"/>
  <c r="Z70"/>
  <c r="AA23"/>
  <c r="AA26"/>
  <c r="AA32" s="1"/>
  <c r="Z69"/>
  <c r="Z81" s="1"/>
  <c r="AB20"/>
  <c r="AB19"/>
  <c r="AB22"/>
  <c r="AB18"/>
  <c r="AB21"/>
  <c r="AB17"/>
  <c r="AB26" s="1"/>
  <c r="AE8"/>
  <c r="AC17"/>
  <c r="Z71"/>
  <c r="AF3"/>
  <c r="AE6"/>
  <c r="AE25" s="1"/>
  <c r="AB80"/>
  <c r="AB34"/>
  <c r="AB89"/>
  <c r="AB16"/>
  <c r="AB48"/>
  <c r="AB68"/>
  <c r="AA64" l="1"/>
  <c r="AA49"/>
  <c r="AA69"/>
  <c r="AA81" s="1"/>
  <c r="AA70"/>
  <c r="AC22"/>
  <c r="AD22" s="1"/>
  <c r="AB31"/>
  <c r="AC31" s="1"/>
  <c r="AD31" s="1"/>
  <c r="AC18"/>
  <c r="AB27"/>
  <c r="AC27" s="1"/>
  <c r="AC21"/>
  <c r="AD21" s="1"/>
  <c r="AB30"/>
  <c r="AC30" s="1"/>
  <c r="AD30" s="1"/>
  <c r="AC20"/>
  <c r="AD20" s="1"/>
  <c r="AB29"/>
  <c r="AC29" s="1"/>
  <c r="AC19"/>
  <c r="AD19" s="1"/>
  <c r="G10" i="7" s="1"/>
  <c r="AB28" i="4"/>
  <c r="AC28" s="1"/>
  <c r="AD28" s="1"/>
  <c r="AB23"/>
  <c r="AD27"/>
  <c r="AE19"/>
  <c r="AE28" s="1"/>
  <c r="AE21"/>
  <c r="AE30" s="1"/>
  <c r="AE18"/>
  <c r="AE27" s="1"/>
  <c r="AE20"/>
  <c r="AE29" s="1"/>
  <c r="AE17"/>
  <c r="AE22"/>
  <c r="AE31" s="1"/>
  <c r="AC26"/>
  <c r="AD29"/>
  <c r="AD17"/>
  <c r="AF8"/>
  <c r="AD18"/>
  <c r="AG3"/>
  <c r="AF6"/>
  <c r="AF25" s="1"/>
  <c r="AE80"/>
  <c r="AE34"/>
  <c r="AE48"/>
  <c r="AE89"/>
  <c r="AE68"/>
  <c r="AE16"/>
  <c r="AB64" l="1"/>
  <c r="AC64" s="1"/>
  <c r="AB49"/>
  <c r="AC49" s="1"/>
  <c r="AD49" s="1"/>
  <c r="AC23"/>
  <c r="AB69"/>
  <c r="AA71"/>
  <c r="AB32"/>
  <c r="AE23"/>
  <c r="AE26"/>
  <c r="AC32"/>
  <c r="AD26"/>
  <c r="AD32" s="1"/>
  <c r="AF20"/>
  <c r="AF29" s="1"/>
  <c r="AF19"/>
  <c r="AF28" s="1"/>
  <c r="AF22"/>
  <c r="AF31" s="1"/>
  <c r="AF18"/>
  <c r="AF27" s="1"/>
  <c r="AF21"/>
  <c r="AF30" s="1"/>
  <c r="AF17"/>
  <c r="AF26" s="1"/>
  <c r="AE32"/>
  <c r="AD23"/>
  <c r="G11" i="7" s="1"/>
  <c r="AG8" i="4"/>
  <c r="AE69"/>
  <c r="AB81"/>
  <c r="AC69"/>
  <c r="AF68"/>
  <c r="AF48"/>
  <c r="AF80"/>
  <c r="AF34"/>
  <c r="AF89"/>
  <c r="AF16"/>
  <c r="AG6"/>
  <c r="AG25" s="1"/>
  <c r="AH3"/>
  <c r="AE64" l="1"/>
  <c r="AE49"/>
  <c r="AD64"/>
  <c r="AE70"/>
  <c r="AB70"/>
  <c r="AG20"/>
  <c r="AG29" s="1"/>
  <c r="AG19"/>
  <c r="AG28" s="1"/>
  <c r="AG22"/>
  <c r="AG31" s="1"/>
  <c r="AG18"/>
  <c r="AG27" s="1"/>
  <c r="AG21"/>
  <c r="AG30" s="1"/>
  <c r="AG17"/>
  <c r="AG26" s="1"/>
  <c r="AF23"/>
  <c r="AF69" s="1"/>
  <c r="AF32"/>
  <c r="H14" i="7"/>
  <c r="G8"/>
  <c r="AH8" i="4"/>
  <c r="G9" i="7"/>
  <c r="AC81" i="4"/>
  <c r="AE81"/>
  <c r="AE71"/>
  <c r="AD69"/>
  <c r="AG80"/>
  <c r="AG89"/>
  <c r="AG48"/>
  <c r="AG34"/>
  <c r="AG68"/>
  <c r="AG16"/>
  <c r="AI3"/>
  <c r="AH6"/>
  <c r="AH25" s="1"/>
  <c r="AF64" l="1"/>
  <c r="AF49"/>
  <c r="AF70"/>
  <c r="AC70"/>
  <c r="AD70" s="1"/>
  <c r="AB71"/>
  <c r="AC71" s="1"/>
  <c r="AD71" s="1"/>
  <c r="AH19"/>
  <c r="AH28" s="1"/>
  <c r="AH22"/>
  <c r="AH31" s="1"/>
  <c r="AH18"/>
  <c r="AH27" s="1"/>
  <c r="AH21"/>
  <c r="AH30" s="1"/>
  <c r="AH17"/>
  <c r="AH26" s="1"/>
  <c r="AH20"/>
  <c r="AH29" s="1"/>
  <c r="AG23"/>
  <c r="AG32"/>
  <c r="G14" i="7"/>
  <c r="AI8" i="4"/>
  <c r="AG69"/>
  <c r="AF71"/>
  <c r="AF81"/>
  <c r="AD81"/>
  <c r="AH89"/>
  <c r="AH34"/>
  <c r="AH80"/>
  <c r="AH68"/>
  <c r="AH48"/>
  <c r="AH16"/>
  <c r="AJ3"/>
  <c r="AI6"/>
  <c r="AI25" s="1"/>
  <c r="AG64" l="1"/>
  <c r="AG49"/>
  <c r="AG70"/>
  <c r="AG71" s="1"/>
  <c r="AH23"/>
  <c r="AH32"/>
  <c r="AI17"/>
  <c r="AI26" s="1"/>
  <c r="AI21"/>
  <c r="AI30" s="1"/>
  <c r="AI20"/>
  <c r="AI29" s="1"/>
  <c r="AI19"/>
  <c r="AI28" s="1"/>
  <c r="AI22"/>
  <c r="AI31" s="1"/>
  <c r="AI18"/>
  <c r="AI27" s="1"/>
  <c r="AJ8"/>
  <c r="AH69"/>
  <c r="AG81"/>
  <c r="AI80"/>
  <c r="AI48"/>
  <c r="AI68"/>
  <c r="AI16"/>
  <c r="AI34"/>
  <c r="AI89"/>
  <c r="AK3"/>
  <c r="AJ6"/>
  <c r="AJ25" s="1"/>
  <c r="AH64" l="1"/>
  <c r="AH49"/>
  <c r="AH70"/>
  <c r="AI23"/>
  <c r="AJ20"/>
  <c r="AJ29" s="1"/>
  <c r="AJ19"/>
  <c r="AJ28" s="1"/>
  <c r="AJ22"/>
  <c r="AJ31" s="1"/>
  <c r="AJ18"/>
  <c r="AJ27" s="1"/>
  <c r="AJ21"/>
  <c r="AJ30" s="1"/>
  <c r="AJ17"/>
  <c r="AI32"/>
  <c r="AK8"/>
  <c r="AH81"/>
  <c r="AH71"/>
  <c r="AK6"/>
  <c r="AK25" s="1"/>
  <c r="AL3"/>
  <c r="AJ16"/>
  <c r="AJ34"/>
  <c r="AJ68"/>
  <c r="AJ80"/>
  <c r="AJ89"/>
  <c r="AJ48"/>
  <c r="AI64" l="1"/>
  <c r="AI49"/>
  <c r="AI70"/>
  <c r="AJ23"/>
  <c r="AJ26"/>
  <c r="AJ32" s="1"/>
  <c r="AI69"/>
  <c r="AI81" s="1"/>
  <c r="AK20"/>
  <c r="AK29" s="1"/>
  <c r="AK19"/>
  <c r="AK28" s="1"/>
  <c r="AK22"/>
  <c r="AK31" s="1"/>
  <c r="AK18"/>
  <c r="AK27" s="1"/>
  <c r="AK21"/>
  <c r="AK30" s="1"/>
  <c r="AK17"/>
  <c r="AK26" s="1"/>
  <c r="AL8"/>
  <c r="AJ69"/>
  <c r="AL6"/>
  <c r="AL25" s="1"/>
  <c r="AM3"/>
  <c r="AK34"/>
  <c r="AK48"/>
  <c r="AK16"/>
  <c r="AK89"/>
  <c r="AK80"/>
  <c r="AK68"/>
  <c r="AI71" l="1"/>
  <c r="AJ64"/>
  <c r="AJ49"/>
  <c r="AK32"/>
  <c r="AK70" s="1"/>
  <c r="AJ70"/>
  <c r="AJ71" s="1"/>
  <c r="AL20"/>
  <c r="AL29" s="1"/>
  <c r="AL19"/>
  <c r="AL28" s="1"/>
  <c r="AL22"/>
  <c r="AL31" s="1"/>
  <c r="AL18"/>
  <c r="AL27" s="1"/>
  <c r="AL21"/>
  <c r="AL30" s="1"/>
  <c r="AL17"/>
  <c r="AL26" s="1"/>
  <c r="AK23"/>
  <c r="AM8"/>
  <c r="AJ81"/>
  <c r="AL80"/>
  <c r="AL68"/>
  <c r="AL48"/>
  <c r="AL89"/>
  <c r="AL34"/>
  <c r="AL16"/>
  <c r="AN3"/>
  <c r="AM6"/>
  <c r="AM25" s="1"/>
  <c r="AK64" l="1"/>
  <c r="AK49"/>
  <c r="AL23"/>
  <c r="AL32"/>
  <c r="AK69"/>
  <c r="AK81" s="1"/>
  <c r="AM22"/>
  <c r="AM31" s="1"/>
  <c r="AM21"/>
  <c r="AM30" s="1"/>
  <c r="AM20"/>
  <c r="AM29" s="1"/>
  <c r="AM19"/>
  <c r="AM28" s="1"/>
  <c r="AM18"/>
  <c r="AM27" s="1"/>
  <c r="AM17"/>
  <c r="AN8"/>
  <c r="AM34"/>
  <c r="AM89"/>
  <c r="AM48"/>
  <c r="AM80"/>
  <c r="AM68"/>
  <c r="AM16"/>
  <c r="AO3"/>
  <c r="AN6"/>
  <c r="AN25" s="1"/>
  <c r="AL64" l="1"/>
  <c r="AL49"/>
  <c r="AL69"/>
  <c r="AL81" s="1"/>
  <c r="AM23"/>
  <c r="AM26"/>
  <c r="AM32" s="1"/>
  <c r="AL70"/>
  <c r="AK71"/>
  <c r="AN20"/>
  <c r="AN29" s="1"/>
  <c r="AN19"/>
  <c r="AN28" s="1"/>
  <c r="AN22"/>
  <c r="AN31" s="1"/>
  <c r="AN18"/>
  <c r="AN27" s="1"/>
  <c r="AN21"/>
  <c r="AN30" s="1"/>
  <c r="AN17"/>
  <c r="AO8"/>
  <c r="AM69"/>
  <c r="AN16"/>
  <c r="AN68"/>
  <c r="AN80"/>
  <c r="AN34"/>
  <c r="AN48"/>
  <c r="AN89"/>
  <c r="AO6"/>
  <c r="AO25" s="1"/>
  <c r="AP3"/>
  <c r="AM64" l="1"/>
  <c r="AM49"/>
  <c r="AL71"/>
  <c r="AN23"/>
  <c r="AN26"/>
  <c r="AN32" s="1"/>
  <c r="AM70"/>
  <c r="AM71" s="1"/>
  <c r="AO19"/>
  <c r="AO28" s="1"/>
  <c r="AO22"/>
  <c r="AO31" s="1"/>
  <c r="AO18"/>
  <c r="AO27" s="1"/>
  <c r="AO21"/>
  <c r="AO30" s="1"/>
  <c r="AO17"/>
  <c r="AO20"/>
  <c r="AO29" s="1"/>
  <c r="AP8"/>
  <c r="AP6"/>
  <c r="AP25" s="1"/>
  <c r="AN69"/>
  <c r="AM81"/>
  <c r="AO89"/>
  <c r="AO48"/>
  <c r="AO80"/>
  <c r="AO68"/>
  <c r="AO16"/>
  <c r="AO34"/>
  <c r="AN64" l="1"/>
  <c r="AN49"/>
  <c r="AN70"/>
  <c r="AO23"/>
  <c r="AO26"/>
  <c r="AP19"/>
  <c r="AP28" s="1"/>
  <c r="AQ28" s="1"/>
  <c r="AP22"/>
  <c r="AP18"/>
  <c r="AP27" s="1"/>
  <c r="AQ27" s="1"/>
  <c r="AP21"/>
  <c r="AP17"/>
  <c r="AP20"/>
  <c r="AO32"/>
  <c r="AP89"/>
  <c r="AP68"/>
  <c r="AP34"/>
  <c r="AP48"/>
  <c r="AP16"/>
  <c r="AP80"/>
  <c r="AQ18"/>
  <c r="AO69"/>
  <c r="AN81"/>
  <c r="AN71"/>
  <c r="AQ19" l="1"/>
  <c r="AS19" s="1"/>
  <c r="AO64"/>
  <c r="AO49"/>
  <c r="AO70"/>
  <c r="AO71" s="1"/>
  <c r="AQ22"/>
  <c r="AS22" s="1"/>
  <c r="AP31"/>
  <c r="AQ31" s="1"/>
  <c r="AR31" s="1"/>
  <c r="AQ21"/>
  <c r="AS21" s="1"/>
  <c r="AP30"/>
  <c r="AQ30" s="1"/>
  <c r="AQ20"/>
  <c r="AS20" s="1"/>
  <c r="AP29"/>
  <c r="AQ29" s="1"/>
  <c r="AR29" s="1"/>
  <c r="AP23"/>
  <c r="AP26"/>
  <c r="AQ26" s="1"/>
  <c r="AR20"/>
  <c r="AQ17"/>
  <c r="AS17" s="1"/>
  <c r="AR28"/>
  <c r="AS28"/>
  <c r="AR30"/>
  <c r="AS30"/>
  <c r="AR27"/>
  <c r="AS27"/>
  <c r="AR18"/>
  <c r="AR19"/>
  <c r="AS18"/>
  <c r="AO81"/>
  <c r="AR17" l="1"/>
  <c r="AP64"/>
  <c r="AQ64" s="1"/>
  <c r="AP49"/>
  <c r="AQ49" s="1"/>
  <c r="AS49" s="1"/>
  <c r="AP69"/>
  <c r="AP81" s="1"/>
  <c r="AR21"/>
  <c r="AQ23"/>
  <c r="AR22"/>
  <c r="AR23" s="1"/>
  <c r="AP32"/>
  <c r="AP70" s="1"/>
  <c r="AQ70" s="1"/>
  <c r="AS70" s="1"/>
  <c r="AS31"/>
  <c r="AS29"/>
  <c r="AQ32"/>
  <c r="AR26"/>
  <c r="AR32" s="1"/>
  <c r="AS26"/>
  <c r="AS32" s="1"/>
  <c r="AS23"/>
  <c r="AQ69"/>
  <c r="AR49" l="1"/>
  <c r="AR64"/>
  <c r="AS64"/>
  <c r="AR70"/>
  <c r="AP71"/>
  <c r="AR69"/>
  <c r="AS69"/>
  <c r="AQ81"/>
  <c r="AQ71"/>
  <c r="AR81" l="1"/>
  <c r="AS81"/>
  <c r="AR71"/>
  <c r="AS71"/>
  <c r="AQ63" l="1"/>
  <c r="AC63"/>
  <c r="AR63" l="1"/>
  <c r="AD63"/>
  <c r="L74"/>
  <c r="G74"/>
  <c r="I74"/>
  <c r="F74"/>
  <c r="H74"/>
  <c r="D74"/>
  <c r="N74"/>
  <c r="K74"/>
  <c r="E74"/>
  <c r="M74"/>
  <c r="J74"/>
  <c r="O63" l="1"/>
  <c r="AS63" s="1"/>
  <c r="C74"/>
  <c r="O74" s="1"/>
  <c r="O59"/>
  <c r="P59" s="1"/>
  <c r="AS59" l="1"/>
  <c r="P63"/>
  <c r="H48" i="7" s="1"/>
  <c r="AS74" i="4"/>
  <c r="P74"/>
  <c r="G48" i="7" l="1"/>
  <c r="D48"/>
  <c r="D45" i="4"/>
  <c r="D85" s="1"/>
  <c r="D84" l="1"/>
  <c r="D77"/>
  <c r="E45" l="1"/>
  <c r="E85" s="1"/>
  <c r="E84" l="1"/>
  <c r="E77"/>
  <c r="AC62"/>
  <c r="AQ62"/>
  <c r="G45" l="1"/>
  <c r="I45"/>
  <c r="I85" s="1"/>
  <c r="F45"/>
  <c r="F85" s="1"/>
  <c r="AD62"/>
  <c r="AR62"/>
  <c r="G77" l="1"/>
  <c r="G85"/>
  <c r="H45"/>
  <c r="H85" s="1"/>
  <c r="G84"/>
  <c r="F77"/>
  <c r="F84"/>
  <c r="I77"/>
  <c r="I84"/>
  <c r="J45" l="1"/>
  <c r="H77"/>
  <c r="H84"/>
  <c r="J84" l="1"/>
  <c r="J85"/>
  <c r="J77"/>
  <c r="K45"/>
  <c r="K84" l="1"/>
  <c r="K85"/>
  <c r="K77"/>
  <c r="L45"/>
  <c r="L85" s="1"/>
  <c r="M45"/>
  <c r="M85" s="1"/>
  <c r="M84" l="1"/>
  <c r="M77"/>
  <c r="L84"/>
  <c r="L77"/>
  <c r="N45" l="1"/>
  <c r="N85" s="1"/>
  <c r="O45" l="1"/>
  <c r="N84"/>
  <c r="N77"/>
  <c r="O85"/>
  <c r="R45"/>
  <c r="R85" s="1"/>
  <c r="Q45"/>
  <c r="Q85" s="1"/>
  <c r="O77" l="1"/>
  <c r="R77"/>
  <c r="R84"/>
  <c r="Q77"/>
  <c r="Q84"/>
  <c r="O84"/>
  <c r="S45"/>
  <c r="S85" s="1"/>
  <c r="S77" l="1"/>
  <c r="S84"/>
  <c r="U45" l="1"/>
  <c r="U85" s="1"/>
  <c r="T45"/>
  <c r="T85" s="1"/>
  <c r="T77" l="1"/>
  <c r="T84"/>
  <c r="U77"/>
  <c r="U84"/>
  <c r="W45" l="1"/>
  <c r="W85" s="1"/>
  <c r="V45"/>
  <c r="V85" s="1"/>
  <c r="W77" l="1"/>
  <c r="W84"/>
  <c r="V77"/>
  <c r="V84"/>
  <c r="X45" l="1"/>
  <c r="X85" s="1"/>
  <c r="Y45"/>
  <c r="Y85" s="1"/>
  <c r="Y84" l="1"/>
  <c r="Y77"/>
  <c r="Z45"/>
  <c r="Z85" s="1"/>
  <c r="X84"/>
  <c r="X77"/>
  <c r="Z84" l="1"/>
  <c r="Z77"/>
  <c r="AA45"/>
  <c r="AA85" s="1"/>
  <c r="AA77" l="1"/>
  <c r="AA84"/>
  <c r="AB45" l="1"/>
  <c r="AB85" s="1"/>
  <c r="AE45" l="1"/>
  <c r="AE85" s="1"/>
  <c r="AC45"/>
  <c r="AB84"/>
  <c r="AB77"/>
  <c r="AC85"/>
  <c r="AF45"/>
  <c r="AF85" s="1"/>
  <c r="AC77" l="1"/>
  <c r="AC84"/>
  <c r="AE77"/>
  <c r="AE84"/>
  <c r="AF77"/>
  <c r="AF84"/>
  <c r="AG45"/>
  <c r="AG85" s="1"/>
  <c r="AH45" l="1"/>
  <c r="AH85" s="1"/>
  <c r="AG84"/>
  <c r="AG77"/>
  <c r="AI45" l="1"/>
  <c r="AI85" s="1"/>
  <c r="AH84"/>
  <c r="AH77"/>
  <c r="AI84" l="1"/>
  <c r="AI77"/>
  <c r="AJ45" l="1"/>
  <c r="AJ85" s="1"/>
  <c r="AK45"/>
  <c r="AK85" s="1"/>
  <c r="AL45" l="1"/>
  <c r="AL85" s="1"/>
  <c r="AK84"/>
  <c r="AK77"/>
  <c r="AJ77"/>
  <c r="AJ84"/>
  <c r="AM45" l="1"/>
  <c r="AM85" s="1"/>
  <c r="AL77"/>
  <c r="AL84"/>
  <c r="AN45" l="1"/>
  <c r="AN85" s="1"/>
  <c r="AM77"/>
  <c r="AM84"/>
  <c r="AN77" l="1"/>
  <c r="AN84"/>
  <c r="AO45"/>
  <c r="AO85" s="1"/>
  <c r="AO84" l="1"/>
  <c r="AO77"/>
  <c r="AP45" l="1"/>
  <c r="AP85" s="1"/>
  <c r="AQ45" l="1"/>
  <c r="AS45" s="1"/>
  <c r="AQ85"/>
  <c r="AS85" s="1"/>
  <c r="AP84"/>
  <c r="AP77"/>
  <c r="AQ77" l="1"/>
  <c r="AS77" s="1"/>
  <c r="AQ84"/>
  <c r="AS84" s="1"/>
  <c r="H35" i="7" l="1"/>
  <c r="H36"/>
  <c r="O56" i="4"/>
  <c r="AS56" s="1"/>
  <c r="AO51" l="1"/>
  <c r="AK51"/>
  <c r="AG51"/>
  <c r="AA51"/>
  <c r="W51"/>
  <c r="S51"/>
  <c r="K51"/>
  <c r="AN51"/>
  <c r="AJ51"/>
  <c r="AF51"/>
  <c r="Z51"/>
  <c r="V51"/>
  <c r="R51"/>
  <c r="N51"/>
  <c r="J51"/>
  <c r="AM51"/>
  <c r="AI51"/>
  <c r="AE51"/>
  <c r="Y51"/>
  <c r="U51"/>
  <c r="Q51"/>
  <c r="M51"/>
  <c r="I51"/>
  <c r="AP51"/>
  <c r="F51"/>
  <c r="E51"/>
  <c r="AL51"/>
  <c r="AB51"/>
  <c r="L51"/>
  <c r="C51"/>
  <c r="AH51"/>
  <c r="X51"/>
  <c r="H51"/>
  <c r="T51"/>
  <c r="G51"/>
  <c r="D51"/>
  <c r="D36" i="7"/>
  <c r="AO50" i="4"/>
  <c r="AK50"/>
  <c r="AG50"/>
  <c r="AA50"/>
  <c r="W50"/>
  <c r="S50"/>
  <c r="N50"/>
  <c r="AN50"/>
  <c r="AJ50"/>
  <c r="AF50"/>
  <c r="Z50"/>
  <c r="V50"/>
  <c r="R50"/>
  <c r="M50"/>
  <c r="M66" s="1"/>
  <c r="I50"/>
  <c r="AM50"/>
  <c r="AI50"/>
  <c r="AE50"/>
  <c r="Y50"/>
  <c r="U50"/>
  <c r="Q50"/>
  <c r="L50"/>
  <c r="AL50"/>
  <c r="AB50"/>
  <c r="J50"/>
  <c r="J66" s="1"/>
  <c r="F50"/>
  <c r="AH50"/>
  <c r="X50"/>
  <c r="H50"/>
  <c r="D50"/>
  <c r="C50"/>
  <c r="AP50"/>
  <c r="K50"/>
  <c r="T50"/>
  <c r="G50"/>
  <c r="G66" s="1"/>
  <c r="E50"/>
  <c r="D35" i="7"/>
  <c r="P56" i="4"/>
  <c r="H41" i="7" s="1"/>
  <c r="G82" i="4" l="1"/>
  <c r="G83" s="1"/>
  <c r="G93" s="1"/>
  <c r="G95" s="1"/>
  <c r="G72"/>
  <c r="G73" s="1"/>
  <c r="G75" s="1"/>
  <c r="AL47"/>
  <c r="AL66"/>
  <c r="I47"/>
  <c r="I66"/>
  <c r="AG47"/>
  <c r="AG66"/>
  <c r="T47"/>
  <c r="T66"/>
  <c r="D47"/>
  <c r="D66"/>
  <c r="F47"/>
  <c r="F66"/>
  <c r="L47"/>
  <c r="L66"/>
  <c r="AE47"/>
  <c r="AQ50"/>
  <c r="AE66"/>
  <c r="M82"/>
  <c r="M83" s="1"/>
  <c r="M93" s="1"/>
  <c r="M95" s="1"/>
  <c r="M72"/>
  <c r="M73" s="1"/>
  <c r="M75" s="1"/>
  <c r="AF47"/>
  <c r="AF66"/>
  <c r="S47"/>
  <c r="S66"/>
  <c r="AK47"/>
  <c r="AK66"/>
  <c r="G47"/>
  <c r="J47"/>
  <c r="AH47"/>
  <c r="AH66"/>
  <c r="Z47"/>
  <c r="Z66"/>
  <c r="K47"/>
  <c r="K66"/>
  <c r="H47"/>
  <c r="H66"/>
  <c r="R47"/>
  <c r="R66"/>
  <c r="M47"/>
  <c r="AQ51"/>
  <c r="AR51" s="1"/>
  <c r="C47"/>
  <c r="O50"/>
  <c r="Y47"/>
  <c r="Y66"/>
  <c r="N47"/>
  <c r="N66"/>
  <c r="J82"/>
  <c r="J83" s="1"/>
  <c r="J93" s="1"/>
  <c r="J95" s="1"/>
  <c r="J72"/>
  <c r="J73" s="1"/>
  <c r="J75" s="1"/>
  <c r="Q47"/>
  <c r="AC50"/>
  <c r="Q66"/>
  <c r="AI47"/>
  <c r="AI66"/>
  <c r="AJ47"/>
  <c r="AJ66"/>
  <c r="W47"/>
  <c r="W66"/>
  <c r="AO47"/>
  <c r="AO66"/>
  <c r="O51"/>
  <c r="E47"/>
  <c r="E66"/>
  <c r="AP47"/>
  <c r="AP66"/>
  <c r="X47"/>
  <c r="X66"/>
  <c r="AB47"/>
  <c r="AB66"/>
  <c r="U47"/>
  <c r="U66"/>
  <c r="AM47"/>
  <c r="AM66"/>
  <c r="V47"/>
  <c r="V66"/>
  <c r="AN47"/>
  <c r="AN66"/>
  <c r="AA47"/>
  <c r="AA66"/>
  <c r="AC51"/>
  <c r="AD51" s="1"/>
  <c r="G41" i="7"/>
  <c r="D41"/>
  <c r="O60" i="4"/>
  <c r="AO82" l="1"/>
  <c r="AO83" s="1"/>
  <c r="AO93" s="1"/>
  <c r="AO95" s="1"/>
  <c r="AO72"/>
  <c r="AO73" s="1"/>
  <c r="AO75" s="1"/>
  <c r="L82"/>
  <c r="L83" s="1"/>
  <c r="L93" s="1"/>
  <c r="L95" s="1"/>
  <c r="L72"/>
  <c r="L73" s="1"/>
  <c r="L75" s="1"/>
  <c r="D82"/>
  <c r="D83" s="1"/>
  <c r="D93" s="1"/>
  <c r="D95" s="1"/>
  <c r="D72"/>
  <c r="D73" s="1"/>
  <c r="D75" s="1"/>
  <c r="AG82"/>
  <c r="AG83" s="1"/>
  <c r="AG93" s="1"/>
  <c r="AG95" s="1"/>
  <c r="AG72"/>
  <c r="AG73" s="1"/>
  <c r="AG75" s="1"/>
  <c r="AL82"/>
  <c r="AL83" s="1"/>
  <c r="AL93" s="1"/>
  <c r="AL95" s="1"/>
  <c r="AL72"/>
  <c r="AL73" s="1"/>
  <c r="AL75" s="1"/>
  <c r="AA82"/>
  <c r="AA83" s="1"/>
  <c r="AA93" s="1"/>
  <c r="AA95" s="1"/>
  <c r="AA72"/>
  <c r="AA73" s="1"/>
  <c r="AA75" s="1"/>
  <c r="V82"/>
  <c r="V83" s="1"/>
  <c r="V93" s="1"/>
  <c r="V95" s="1"/>
  <c r="V72"/>
  <c r="V73" s="1"/>
  <c r="V75" s="1"/>
  <c r="U82"/>
  <c r="U83" s="1"/>
  <c r="U93" s="1"/>
  <c r="U95" s="1"/>
  <c r="U72"/>
  <c r="U73" s="1"/>
  <c r="U75" s="1"/>
  <c r="X82"/>
  <c r="X83" s="1"/>
  <c r="X93" s="1"/>
  <c r="X95" s="1"/>
  <c r="X72"/>
  <c r="X73" s="1"/>
  <c r="X75" s="1"/>
  <c r="E82"/>
  <c r="E83" s="1"/>
  <c r="E93" s="1"/>
  <c r="E95" s="1"/>
  <c r="E72"/>
  <c r="E73" s="1"/>
  <c r="E75" s="1"/>
  <c r="AD50"/>
  <c r="AD66" s="1"/>
  <c r="AC66"/>
  <c r="N82"/>
  <c r="N83" s="1"/>
  <c r="N93" s="1"/>
  <c r="N95" s="1"/>
  <c r="N72"/>
  <c r="N73" s="1"/>
  <c r="N75" s="1"/>
  <c r="P50"/>
  <c r="AS50"/>
  <c r="R82"/>
  <c r="R83" s="1"/>
  <c r="R93" s="1"/>
  <c r="R95" s="1"/>
  <c r="R72"/>
  <c r="R73" s="1"/>
  <c r="R75" s="1"/>
  <c r="K82"/>
  <c r="K83" s="1"/>
  <c r="K93" s="1"/>
  <c r="K95" s="1"/>
  <c r="K72"/>
  <c r="K73" s="1"/>
  <c r="K75" s="1"/>
  <c r="AH82"/>
  <c r="AH83" s="1"/>
  <c r="AH93" s="1"/>
  <c r="AH95" s="1"/>
  <c r="AH72"/>
  <c r="AH73" s="1"/>
  <c r="AH75" s="1"/>
  <c r="AK82"/>
  <c r="AK83" s="1"/>
  <c r="AK93" s="1"/>
  <c r="AK95" s="1"/>
  <c r="AK72"/>
  <c r="AK73" s="1"/>
  <c r="AK75" s="1"/>
  <c r="AF82"/>
  <c r="AF83" s="1"/>
  <c r="AF93" s="1"/>
  <c r="AF95" s="1"/>
  <c r="AF72"/>
  <c r="AF73" s="1"/>
  <c r="AF75" s="1"/>
  <c r="AE82"/>
  <c r="AE72"/>
  <c r="AJ82"/>
  <c r="AJ83" s="1"/>
  <c r="AJ93" s="1"/>
  <c r="AJ95" s="1"/>
  <c r="AJ72"/>
  <c r="AJ73" s="1"/>
  <c r="AJ75" s="1"/>
  <c r="W82"/>
  <c r="W83" s="1"/>
  <c r="W93" s="1"/>
  <c r="W95" s="1"/>
  <c r="W72"/>
  <c r="W73" s="1"/>
  <c r="W75" s="1"/>
  <c r="AI82"/>
  <c r="AI83" s="1"/>
  <c r="AI93" s="1"/>
  <c r="AI95" s="1"/>
  <c r="AI72"/>
  <c r="AI73" s="1"/>
  <c r="AI75" s="1"/>
  <c r="AR50"/>
  <c r="AR66" s="1"/>
  <c r="AQ66"/>
  <c r="F82"/>
  <c r="F83" s="1"/>
  <c r="F93" s="1"/>
  <c r="F95" s="1"/>
  <c r="F72"/>
  <c r="F73" s="1"/>
  <c r="F75" s="1"/>
  <c r="T82"/>
  <c r="T83" s="1"/>
  <c r="T93" s="1"/>
  <c r="T95" s="1"/>
  <c r="T72"/>
  <c r="T73" s="1"/>
  <c r="T75" s="1"/>
  <c r="I82"/>
  <c r="I83" s="1"/>
  <c r="I93" s="1"/>
  <c r="I95" s="1"/>
  <c r="I72"/>
  <c r="I73" s="1"/>
  <c r="I75" s="1"/>
  <c r="Q82"/>
  <c r="Q72"/>
  <c r="AN82"/>
  <c r="AN83" s="1"/>
  <c r="AN93" s="1"/>
  <c r="AN95" s="1"/>
  <c r="AN72"/>
  <c r="AN73" s="1"/>
  <c r="AN75" s="1"/>
  <c r="AM82"/>
  <c r="AM83" s="1"/>
  <c r="AM93" s="1"/>
  <c r="AM95" s="1"/>
  <c r="AM72"/>
  <c r="AM73" s="1"/>
  <c r="AM75" s="1"/>
  <c r="AB82"/>
  <c r="AB83" s="1"/>
  <c r="AB93" s="1"/>
  <c r="AB95" s="1"/>
  <c r="AB72"/>
  <c r="AB73" s="1"/>
  <c r="AB75" s="1"/>
  <c r="AP82"/>
  <c r="AP83" s="1"/>
  <c r="AP93" s="1"/>
  <c r="AP95" s="1"/>
  <c r="AP72"/>
  <c r="AP73" s="1"/>
  <c r="AP75" s="1"/>
  <c r="P51"/>
  <c r="AS51"/>
  <c r="Y82"/>
  <c r="Y83" s="1"/>
  <c r="Y93" s="1"/>
  <c r="Y95" s="1"/>
  <c r="Y72"/>
  <c r="Y73" s="1"/>
  <c r="Y75" s="1"/>
  <c r="H82"/>
  <c r="H83" s="1"/>
  <c r="H93" s="1"/>
  <c r="H95" s="1"/>
  <c r="H72"/>
  <c r="H73" s="1"/>
  <c r="H75" s="1"/>
  <c r="Z82"/>
  <c r="Z83" s="1"/>
  <c r="Z93" s="1"/>
  <c r="Z95" s="1"/>
  <c r="Z72"/>
  <c r="Z73" s="1"/>
  <c r="Z75" s="1"/>
  <c r="S82"/>
  <c r="S83" s="1"/>
  <c r="S93" s="1"/>
  <c r="S95" s="1"/>
  <c r="S72"/>
  <c r="S73" s="1"/>
  <c r="S75" s="1"/>
  <c r="P60"/>
  <c r="AS60"/>
  <c r="AC72" l="1"/>
  <c r="AD72" s="1"/>
  <c r="Q73"/>
  <c r="AQ72"/>
  <c r="AR72" s="1"/>
  <c r="AE73"/>
  <c r="AC82"/>
  <c r="AD82" s="1"/>
  <c r="Q83"/>
  <c r="AQ82"/>
  <c r="AR82" s="1"/>
  <c r="AE83"/>
  <c r="H45" i="7"/>
  <c r="H51" s="1"/>
  <c r="AQ73" i="4" l="1"/>
  <c r="AR73" s="1"/>
  <c r="AE75"/>
  <c r="AQ75" s="1"/>
  <c r="AR75" s="1"/>
  <c r="F58" i="7" s="1"/>
  <c r="AQ83" i="4"/>
  <c r="AR83" s="1"/>
  <c r="AE93"/>
  <c r="AE95" s="1"/>
  <c r="AC83"/>
  <c r="AD83" s="1"/>
  <c r="Q93"/>
  <c r="Q95" s="1"/>
  <c r="Q75"/>
  <c r="AC75" s="1"/>
  <c r="AD75" s="1"/>
  <c r="F56" i="7" s="1"/>
  <c r="AC73" i="4"/>
  <c r="AD73" s="1"/>
  <c r="G45" i="7"/>
  <c r="G51" s="1"/>
  <c r="D45"/>
  <c r="D47"/>
  <c r="O62" i="4"/>
  <c r="D51" i="7" l="1"/>
  <c r="D56"/>
  <c r="E56"/>
  <c r="D58"/>
  <c r="E58"/>
  <c r="C66" i="4"/>
  <c r="C82" s="1"/>
  <c r="C83" s="1"/>
  <c r="C93" s="1"/>
  <c r="AS62"/>
  <c r="AS66" s="1"/>
  <c r="P62"/>
  <c r="P66" s="1"/>
  <c r="O66"/>
  <c r="O83" l="1"/>
  <c r="P83" s="1"/>
  <c r="C72"/>
  <c r="O72" s="1"/>
  <c r="C87"/>
  <c r="D86" s="1"/>
  <c r="D87" s="1"/>
  <c r="E86" s="1"/>
  <c r="E87" s="1"/>
  <c r="F86" s="1"/>
  <c r="F87" s="1"/>
  <c r="G86" s="1"/>
  <c r="G87" s="1"/>
  <c r="H86" s="1"/>
  <c r="H87" s="1"/>
  <c r="I86" s="1"/>
  <c r="I87" s="1"/>
  <c r="J86" s="1"/>
  <c r="J87" s="1"/>
  <c r="K86" s="1"/>
  <c r="K87" s="1"/>
  <c r="L86" s="1"/>
  <c r="L87" s="1"/>
  <c r="M86" s="1"/>
  <c r="M87" s="1"/>
  <c r="N86" s="1"/>
  <c r="N87" s="1"/>
  <c r="O87" s="1"/>
  <c r="O82"/>
  <c r="AS82" s="1"/>
  <c r="C95"/>
  <c r="C96" s="1"/>
  <c r="D96" s="1"/>
  <c r="E96" s="1"/>
  <c r="F96" s="1"/>
  <c r="G96" s="1"/>
  <c r="H96" s="1"/>
  <c r="I96" s="1"/>
  <c r="J96" s="1"/>
  <c r="K96" s="1"/>
  <c r="L96" s="1"/>
  <c r="M96" s="1"/>
  <c r="N96" s="1"/>
  <c r="Q96" s="1"/>
  <c r="R96" s="1"/>
  <c r="S96" s="1"/>
  <c r="T96" s="1"/>
  <c r="U96" s="1"/>
  <c r="V96" s="1"/>
  <c r="W96" s="1"/>
  <c r="X96" s="1"/>
  <c r="Y96" s="1"/>
  <c r="Z96" s="1"/>
  <c r="AA96" s="1"/>
  <c r="AB96" s="1"/>
  <c r="AE96" s="1"/>
  <c r="AF96" s="1"/>
  <c r="AG96" s="1"/>
  <c r="AH96" s="1"/>
  <c r="AI96" s="1"/>
  <c r="AJ96" s="1"/>
  <c r="AK96" s="1"/>
  <c r="AL96" s="1"/>
  <c r="AM96" s="1"/>
  <c r="AN96" s="1"/>
  <c r="AO96" s="1"/>
  <c r="AP96" s="1"/>
  <c r="C94"/>
  <c r="D94" s="1"/>
  <c r="E94" s="1"/>
  <c r="F94" s="1"/>
  <c r="G94" s="1"/>
  <c r="H94" s="1"/>
  <c r="I94" s="1"/>
  <c r="J94" s="1"/>
  <c r="K94" s="1"/>
  <c r="L94" s="1"/>
  <c r="M94" s="1"/>
  <c r="N94" s="1"/>
  <c r="Q94" s="1"/>
  <c r="R94" s="1"/>
  <c r="S94" s="1"/>
  <c r="T94" s="1"/>
  <c r="U94" s="1"/>
  <c r="V94" s="1"/>
  <c r="W94" s="1"/>
  <c r="X94" s="1"/>
  <c r="Y94" s="1"/>
  <c r="Z94" s="1"/>
  <c r="AA94" s="1"/>
  <c r="AB94" s="1"/>
  <c r="AE94" s="1"/>
  <c r="AF94" s="1"/>
  <c r="AG94" s="1"/>
  <c r="AH94" s="1"/>
  <c r="AI94" s="1"/>
  <c r="AJ94" s="1"/>
  <c r="AK94" s="1"/>
  <c r="AL94" s="1"/>
  <c r="AM94" s="1"/>
  <c r="AN94" s="1"/>
  <c r="AO94" s="1"/>
  <c r="AP94" s="1"/>
  <c r="C73"/>
  <c r="AS83" l="1"/>
  <c r="P82"/>
  <c r="Q86"/>
  <c r="Q87" s="1"/>
  <c r="R86" s="1"/>
  <c r="R87" s="1"/>
  <c r="S86" s="1"/>
  <c r="S87" s="1"/>
  <c r="T86" s="1"/>
  <c r="T87" s="1"/>
  <c r="U86" s="1"/>
  <c r="U87" s="1"/>
  <c r="V86" s="1"/>
  <c r="V87" s="1"/>
  <c r="W86" s="1"/>
  <c r="W87" s="1"/>
  <c r="X86" s="1"/>
  <c r="X87" s="1"/>
  <c r="Y86" s="1"/>
  <c r="Y87" s="1"/>
  <c r="Z86" s="1"/>
  <c r="Z87" s="1"/>
  <c r="AA86" s="1"/>
  <c r="AA87" s="1"/>
  <c r="AB86" s="1"/>
  <c r="AB87" s="1"/>
  <c r="B98"/>
  <c r="B99"/>
  <c r="P72"/>
  <c r="AS72"/>
  <c r="C75"/>
  <c r="O73"/>
  <c r="AC86" l="1"/>
  <c r="P73"/>
  <c r="AS73"/>
  <c r="C78"/>
  <c r="O75"/>
  <c r="P75" s="1"/>
  <c r="F54" i="7" s="1"/>
  <c r="C104" i="4"/>
  <c r="AC87"/>
  <c r="AE86"/>
  <c r="E54" i="7" l="1"/>
  <c r="D54"/>
  <c r="AQ86" i="4"/>
  <c r="AE87"/>
  <c r="AF86" s="1"/>
  <c r="AF87" s="1"/>
  <c r="AG86" s="1"/>
  <c r="AG87" s="1"/>
  <c r="AH86" s="1"/>
  <c r="AH87" s="1"/>
  <c r="AI86" s="1"/>
  <c r="AI87" s="1"/>
  <c r="AJ86" s="1"/>
  <c r="AJ87" s="1"/>
  <c r="AK86" s="1"/>
  <c r="AK87" s="1"/>
  <c r="AL86" s="1"/>
  <c r="AL87" s="1"/>
  <c r="AM86" s="1"/>
  <c r="AM87" s="1"/>
  <c r="AN86" s="1"/>
  <c r="AN87" s="1"/>
  <c r="AO86" s="1"/>
  <c r="AO87" s="1"/>
  <c r="AP86" s="1"/>
  <c r="AP87" s="1"/>
  <c r="AQ87" s="1"/>
  <c r="AS87" s="1"/>
  <c r="C103"/>
  <c r="D78"/>
  <c r="D104"/>
  <c r="E104" s="1"/>
  <c r="F104" s="1"/>
  <c r="G104" s="1"/>
  <c r="H104" s="1"/>
  <c r="I104" s="1"/>
  <c r="J104" s="1"/>
  <c r="K104" s="1"/>
  <c r="L104" s="1"/>
  <c r="M104" s="1"/>
  <c r="N104" s="1"/>
  <c r="Q104" s="1"/>
  <c r="R104" s="1"/>
  <c r="S104" s="1"/>
  <c r="T104" s="1"/>
  <c r="U104" s="1"/>
  <c r="V104" s="1"/>
  <c r="W104" s="1"/>
  <c r="X104" s="1"/>
  <c r="Y104" s="1"/>
  <c r="Z104" s="1"/>
  <c r="AA104" s="1"/>
  <c r="AB104" s="1"/>
  <c r="AE104" s="1"/>
  <c r="AF104" s="1"/>
  <c r="AG104" s="1"/>
  <c r="AH104" s="1"/>
  <c r="AI104" s="1"/>
  <c r="AJ104" s="1"/>
  <c r="AK104" s="1"/>
  <c r="AL104" s="1"/>
  <c r="AM104" s="1"/>
  <c r="AN104" s="1"/>
  <c r="AO104" s="1"/>
  <c r="AP104" s="1"/>
  <c r="AS104" l="1"/>
  <c r="D103"/>
  <c r="E78"/>
  <c r="E103" l="1"/>
  <c r="F78"/>
  <c r="G78" l="1"/>
  <c r="F103"/>
  <c r="G103" l="1"/>
  <c r="H78"/>
  <c r="H103" l="1"/>
  <c r="I78"/>
  <c r="I103" l="1"/>
  <c r="J78"/>
  <c r="K78" l="1"/>
  <c r="J103"/>
  <c r="K103" l="1"/>
  <c r="L78"/>
  <c r="M78" l="1"/>
  <c r="L103"/>
  <c r="M103" l="1"/>
  <c r="N78"/>
  <c r="Q78" l="1"/>
  <c r="N103"/>
  <c r="O78"/>
  <c r="R78" l="1"/>
  <c r="Q103"/>
  <c r="R103" l="1"/>
  <c r="S78"/>
  <c r="T78" l="1"/>
  <c r="S103"/>
  <c r="U78" l="1"/>
  <c r="T103"/>
  <c r="U103" l="1"/>
  <c r="V78"/>
  <c r="V103" l="1"/>
  <c r="W78"/>
  <c r="W103" l="1"/>
  <c r="X78"/>
  <c r="Y78" l="1"/>
  <c r="X103"/>
  <c r="Y103" l="1"/>
  <c r="Z78"/>
  <c r="Z103" l="1"/>
  <c r="AA78"/>
  <c r="AB78" l="1"/>
  <c r="AA103"/>
  <c r="AB103" l="1"/>
  <c r="AC78"/>
  <c r="AE78"/>
  <c r="AF78" l="1"/>
  <c r="AE103"/>
  <c r="AF103" l="1"/>
  <c r="AG78"/>
  <c r="AG103" l="1"/>
  <c r="AH78"/>
  <c r="AH103" l="1"/>
  <c r="AI78"/>
  <c r="AJ78" l="1"/>
  <c r="AI103"/>
  <c r="AJ103" l="1"/>
  <c r="AK78"/>
  <c r="AL78" l="1"/>
  <c r="AK103"/>
  <c r="AM78" l="1"/>
  <c r="AL103"/>
  <c r="AM103" l="1"/>
  <c r="AN78"/>
  <c r="AN103" l="1"/>
  <c r="AO78"/>
  <c r="AO103" l="1"/>
  <c r="AP78"/>
  <c r="AQ78" l="1"/>
  <c r="AP103"/>
  <c r="AS103" s="1"/>
  <c r="AS105" l="1"/>
  <c r="B100" s="1"/>
  <c r="AS106"/>
  <c r="B101" s="1"/>
  <c r="D60" i="7" s="1"/>
  <c r="D2" i="4" l="1"/>
  <c r="D62" i="7"/>
</calcChain>
</file>

<file path=xl/sharedStrings.xml><?xml version="1.0" encoding="utf-8"?>
<sst xmlns="http://schemas.openxmlformats.org/spreadsheetml/2006/main" count="203" uniqueCount="163">
  <si>
    <t>Итого:</t>
  </si>
  <si>
    <t>Текущие затраты</t>
  </si>
  <si>
    <t>Прочее</t>
  </si>
  <si>
    <t>Итого</t>
  </si>
  <si>
    <t>мес.</t>
  </si>
  <si>
    <t>Изменения можно вносить только в ячейки, окрашенные в серый цвет</t>
  </si>
  <si>
    <t>ЗАГРУЗКА</t>
  </si>
  <si>
    <t>ДИНАМИКА ПРОДАЖ</t>
  </si>
  <si>
    <t>ТЕКУЩИЕ ЗАТРАТЫ</t>
  </si>
  <si>
    <t>ИТОГО</t>
  </si>
  <si>
    <t>ОТЧЕТ О ПРИБЫЛЯХ И УБЫТКАХ</t>
  </si>
  <si>
    <t>Выручка</t>
  </si>
  <si>
    <t>Валовая прибыль</t>
  </si>
  <si>
    <t>ДВИЖЕНИЕ ДЕНЕЖНЫХ СРЕДСТВ (КЭШ-ФЛО)</t>
  </si>
  <si>
    <t>Поступления от основной деятельности</t>
  </si>
  <si>
    <t>Кэш-фло от оперативной деятельности</t>
  </si>
  <si>
    <t>Кэш-фло от инвестиционной деятельности</t>
  </si>
  <si>
    <t>Кэш-фло от финансовой деятельности</t>
  </si>
  <si>
    <t>Баланс наличности на начало периода</t>
  </si>
  <si>
    <t>Баланс наличности на конец периода</t>
  </si>
  <si>
    <t>ОКУПАЕМОСТЬ ПРОЕКТА</t>
  </si>
  <si>
    <t>Индекс прибыльности проекта (PI)</t>
  </si>
  <si>
    <t>Месяц, с которого начинается работа</t>
  </si>
  <si>
    <t>январь</t>
  </si>
  <si>
    <t>февраль</t>
  </si>
  <si>
    <t>июль</t>
  </si>
  <si>
    <t>август</t>
  </si>
  <si>
    <t>сентябрь</t>
  </si>
  <si>
    <t>октябрь</t>
  </si>
  <si>
    <t>ноябрь</t>
  </si>
  <si>
    <t>декабрь</t>
  </si>
  <si>
    <t>1-й год работы</t>
  </si>
  <si>
    <t>2-й год работы</t>
  </si>
  <si>
    <t>прибыль</t>
  </si>
  <si>
    <t>3-й год работы</t>
  </si>
  <si>
    <t>Итого за 1-й год</t>
  </si>
  <si>
    <t>Среднемесячно за 1-й год</t>
  </si>
  <si>
    <t>Среднемесячно за 2-й год</t>
  </si>
  <si>
    <t>Итого за 2-й год</t>
  </si>
  <si>
    <t>Итого за 3-й год</t>
  </si>
  <si>
    <t>Среднемесячно за 3-й год</t>
  </si>
  <si>
    <t>Итого за три года</t>
  </si>
  <si>
    <t>Ремонт помещения</t>
  </si>
  <si>
    <t>Зарплата персонала</t>
  </si>
  <si>
    <t>самоокупаемость</t>
  </si>
  <si>
    <t>Срок выхода на самоокупаемость проекта, мес.:</t>
  </si>
  <si>
    <t>Выход на самоокупаемость с</t>
  </si>
  <si>
    <t>Валюта, в которой производится расчет</t>
  </si>
  <si>
    <t>Хозяйственные нужды</t>
  </si>
  <si>
    <t>Финансовые параметры</t>
  </si>
  <si>
    <t>март</t>
  </si>
  <si>
    <t>апрель</t>
  </si>
  <si>
    <t>май</t>
  </si>
  <si>
    <t>Сигнализация (охранная и пожарная)</t>
  </si>
  <si>
    <t>Инвестиции в открытие</t>
  </si>
  <si>
    <t>Видеонаблюдение</t>
  </si>
  <si>
    <t>Аренда</t>
  </si>
  <si>
    <t>Коммунальные платежи</t>
  </si>
  <si>
    <t>Среднемесячная чистая прибыль 
за 1-й год работы</t>
  </si>
  <si>
    <t>Среднемесячная чистая прибыль 
за 2-й год работы</t>
  </si>
  <si>
    <t>Среднемесячная чистая прибыль 
за 3-й год работы</t>
  </si>
  <si>
    <t>UAH</t>
  </si>
  <si>
    <t>USD</t>
  </si>
  <si>
    <t>EUR</t>
  </si>
  <si>
    <t>RUB</t>
  </si>
  <si>
    <t>Рекламная кампания</t>
  </si>
  <si>
    <t>Персонал</t>
  </si>
  <si>
    <t>Должностные единицы</t>
  </si>
  <si>
    <t>Количество, чел.</t>
  </si>
  <si>
    <t>Услуги связи и интернет</t>
  </si>
  <si>
    <t>Окупаемость инвестиций</t>
  </si>
  <si>
    <t>Охрана</t>
  </si>
  <si>
    <t>общая выручка</t>
  </si>
  <si>
    <t>Удельный вес в объеме выручки за 1-й год работы</t>
  </si>
  <si>
    <t>Налоги</t>
  </si>
  <si>
    <t>июнь</t>
  </si>
  <si>
    <t>Рост арендной платы*</t>
  </si>
  <si>
    <t xml:space="preserve"> * - по сравнения с данными, указанными на странице "Исходные данные".</t>
  </si>
  <si>
    <t>Фиксированный оклад на 1 сотрудника</t>
  </si>
  <si>
    <t>ИНВЕСТИЦИИ</t>
  </si>
  <si>
    <t>Группы услуг</t>
  </si>
  <si>
    <t>Мебель и оборудование</t>
  </si>
  <si>
    <t>Базовый размер бонуса, % от базы начисления*</t>
  </si>
  <si>
    <t xml:space="preserve"> * - База начисления бонуса</t>
  </si>
  <si>
    <t>Бухгалтер</t>
  </si>
  <si>
    <t>Банковское обслуживание</t>
  </si>
  <si>
    <t>Компьютеры</t>
  </si>
  <si>
    <t>Офисные расходы</t>
  </si>
  <si>
    <t>Офисная техника</t>
  </si>
  <si>
    <t>Сервисное обслуживание офисной техники*</t>
  </si>
  <si>
    <t>Маркетинговое сопровождение</t>
  </si>
  <si>
    <t>Среднемесячные затраты за 1-й год работы</t>
  </si>
  <si>
    <t>Коэффициент дисконтирования, % годовых</t>
  </si>
  <si>
    <t>Оборудование</t>
  </si>
  <si>
    <t>Паушальный взнос</t>
  </si>
  <si>
    <t>Директор</t>
  </si>
  <si>
    <t>Текущий ремонт</t>
  </si>
  <si>
    <t>Обновление униформы персонала*</t>
  </si>
  <si>
    <t>Рекламные мероприятия</t>
  </si>
  <si>
    <t>Среднемесячная сумма затрат*</t>
  </si>
  <si>
    <t>Прибыль до налогов</t>
  </si>
  <si>
    <r>
      <rPr>
        <b/>
        <sz val="8"/>
        <rFont val="Arial Cyr"/>
        <charset val="204"/>
      </rPr>
      <t xml:space="preserve">Чистая прибыль </t>
    </r>
    <r>
      <rPr>
        <b/>
        <sz val="8"/>
        <color rgb="FFFF0000"/>
        <rFont val="Arial Cyr"/>
        <family val="2"/>
        <charset val="204"/>
      </rPr>
      <t>(убыток)</t>
    </r>
  </si>
  <si>
    <r>
      <rPr>
        <b/>
        <sz val="8"/>
        <rFont val="Arial Cyr"/>
        <charset val="204"/>
      </rPr>
      <t xml:space="preserve">Чистая прибыль </t>
    </r>
    <r>
      <rPr>
        <b/>
        <sz val="8"/>
        <color rgb="FFFF0000"/>
        <rFont val="Arial Cyr"/>
        <family val="2"/>
        <charset val="204"/>
      </rPr>
      <t xml:space="preserve">(убыток) </t>
    </r>
    <r>
      <rPr>
        <b/>
        <sz val="8"/>
        <rFont val="Arial Cyr"/>
        <charset val="204"/>
      </rPr>
      <t>с учетом инвестиций накопительным итогом</t>
    </r>
  </si>
  <si>
    <t>Срок окупаемости проекта с учетом инвестиций, мес.:</t>
  </si>
  <si>
    <t>Рост коммунальных платежей*</t>
  </si>
  <si>
    <t>Рост затрат на услуги связи и интернет*</t>
  </si>
  <si>
    <t>Рост затрат на налоги*</t>
  </si>
  <si>
    <t>Курс валют (1 единица валюты = указанному количеству рублей (RUB)</t>
  </si>
  <si>
    <t>KZT</t>
  </si>
  <si>
    <t>RUB/мес.</t>
  </si>
  <si>
    <t>Сервисное обслуживание офисной техники</t>
  </si>
  <si>
    <t>Обновление униформы персонала</t>
  </si>
  <si>
    <t>Среднемесячная выручка за 1-й год работы</t>
  </si>
  <si>
    <t>Средняя стоимость одной услуги по каждой группе услуг</t>
  </si>
  <si>
    <t>Рост фиксированного оклада*</t>
  </si>
  <si>
    <t>Динамика роста продаж и текущих затрат</t>
  </si>
  <si>
    <t>Исходные данные для финансовой модели "АРМИТ"</t>
  </si>
  <si>
    <t>Финансовая модель франшизы "АРМИТ"</t>
  </si>
  <si>
    <t>Столешницы кухонные</t>
  </si>
  <si>
    <t>Столешницы сан. узел</t>
  </si>
  <si>
    <t>Барные стойки</t>
  </si>
  <si>
    <t>Ванны</t>
  </si>
  <si>
    <t>Ступени для лестниц</t>
  </si>
  <si>
    <t>Подоконники</t>
  </si>
  <si>
    <t>1-й месяц</t>
  </si>
  <si>
    <t>2-й месяц</t>
  </si>
  <si>
    <t>3-й месяц</t>
  </si>
  <si>
    <t>Плановое количество оказываемых услуг за каждый месяц квартла*, шт.</t>
  </si>
  <si>
    <t>Наценка, %</t>
  </si>
  <si>
    <t xml:space="preserve"> * - кварталом является не календарный квартал, а квартал с момента начала бизнеса.</t>
  </si>
  <si>
    <t>Параметры сезонности и выхода продаж на плановые показатели и дальнейший рост объемов продаж</t>
  </si>
  <si>
    <t>Календарный месяц</t>
  </si>
  <si>
    <t>Процент влияния сезона*, %</t>
  </si>
  <si>
    <t>Порядковый месяц от начала работы</t>
  </si>
  <si>
    <t>Процент выхода продаж на плановые показатели*, %</t>
  </si>
  <si>
    <t xml:space="preserve"> * - по сравнения с данными о средней стоимости услуг и количеству предоставляемых услуг, указанными в блоке "Финансовые параметры" на странице "Исходные данные".
 ** - по сравнения с данными, указанными в блоке "Персонал" и "Текущие затраты" на странице "Исходные данные".</t>
  </si>
  <si>
    <t>Процент роста продаж*, %</t>
  </si>
  <si>
    <t>Процент роста фиксированного оклада**, %</t>
  </si>
  <si>
    <t>Процент роста арендной платы**, %</t>
  </si>
  <si>
    <t>Процент роста коммунальных платежей**, %</t>
  </si>
  <si>
    <t>Процент роста затрат на услуги связи и интернет**, %</t>
  </si>
  <si>
    <t>Процент роста затрат на налоги**, %</t>
  </si>
  <si>
    <t>Выход продаж на плановые показатели и дальнейший рост объемов*</t>
  </si>
  <si>
    <t>Сезонность*</t>
  </si>
  <si>
    <t>Изготовитель производства</t>
  </si>
  <si>
    <t xml:space="preserve">Замерщик - монтажник </t>
  </si>
  <si>
    <t>Роялти</t>
  </si>
  <si>
    <t xml:space="preserve">RUB/мес. </t>
  </si>
  <si>
    <t>Налоги на зарплату, % от суммы окладов</t>
  </si>
  <si>
    <t>% от суммы окладов</t>
  </si>
  <si>
    <t>% от общей выручки</t>
  </si>
  <si>
    <t>% от общей выручки - расходы</t>
  </si>
  <si>
    <r>
      <t>Налоги</t>
    </r>
    <r>
      <rPr>
        <b/>
        <sz val="16"/>
        <color rgb="FFFF0000"/>
        <rFont val="Calibri"/>
        <family val="2"/>
        <charset val="204"/>
        <scheme val="minor"/>
      </rPr>
      <t>**</t>
    </r>
    <r>
      <rPr>
        <b/>
        <sz val="16"/>
        <color theme="6" tint="-0.499984740745262"/>
        <rFont val="Calibri"/>
        <family val="2"/>
        <charset val="204"/>
        <scheme val="minor"/>
      </rPr>
      <t>, % от общей выручки</t>
    </r>
  </si>
  <si>
    <r>
      <t>Налоги</t>
    </r>
    <r>
      <rPr>
        <b/>
        <sz val="16"/>
        <color rgb="FFFF0000"/>
        <rFont val="Calibri"/>
        <family val="2"/>
        <charset val="204"/>
        <scheme val="minor"/>
      </rPr>
      <t>**</t>
    </r>
    <r>
      <rPr>
        <b/>
        <sz val="16"/>
        <color theme="6" tint="-0.499984740745262"/>
        <rFont val="Calibri"/>
        <family val="2"/>
        <charset val="204"/>
        <scheme val="minor"/>
      </rPr>
      <t>, % от общей выручки - расходы</t>
    </r>
  </si>
  <si>
    <r>
      <t>Налоги</t>
    </r>
    <r>
      <rPr>
        <b/>
        <sz val="16"/>
        <color rgb="FFFF0000"/>
        <rFont val="Calibri"/>
        <family val="2"/>
        <charset val="204"/>
        <scheme val="minor"/>
      </rPr>
      <t>**</t>
    </r>
    <r>
      <rPr>
        <b/>
        <sz val="16"/>
        <color theme="6" tint="-0.499984740745262"/>
        <rFont val="Calibri"/>
        <family val="2"/>
        <charset val="204"/>
        <scheme val="minor"/>
      </rPr>
      <t>, фиксированная сумма</t>
    </r>
  </si>
  <si>
    <t>Вид налогообложения</t>
  </si>
  <si>
    <t>фиксированная сумма</t>
  </si>
  <si>
    <r>
      <t xml:space="preserve"> * - расходы на "Сервисное обслуживание офисной техники" и "Обновление униформы персонала" осуществляются в указанной сумме раз в 3 месяца.
 </t>
    </r>
    <r>
      <rPr>
        <sz val="14"/>
        <color rgb="FFFF0000"/>
        <rFont val="Calibri"/>
        <family val="2"/>
        <charset val="204"/>
        <scheme val="minor"/>
      </rPr>
      <t>**</t>
    </r>
    <r>
      <rPr>
        <sz val="14"/>
        <rFont val="Calibri"/>
        <family val="2"/>
        <charset val="204"/>
        <scheme val="minor"/>
      </rPr>
      <t xml:space="preserve"> - налог, который применяется в расчете, выбирается на странице "Обобщенный расчет".</t>
    </r>
  </si>
  <si>
    <t>Налоги на зарплату</t>
  </si>
  <si>
    <t>ДИНАМИКА СЕБЕСТОИМОСТИ</t>
  </si>
  <si>
    <t>прибыль до налогов</t>
  </si>
  <si>
    <t>Себестоимость</t>
  </si>
  <si>
    <t>Среднемесячная валовая прибыль (выручка - себестоимость) 
за 1-й год работы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</si>
</sst>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#,##0.0"/>
    <numFmt numFmtId="166" formatCode="#,##0.0000"/>
    <numFmt numFmtId="167" formatCode="0.0%"/>
    <numFmt numFmtId="168" formatCode="#,##0_ ;[Red]\-#,##0\ "/>
  </numFmts>
  <fonts count="5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8"/>
      <color theme="6" tint="-0.499984740745262"/>
      <name val="Calibri"/>
      <family val="2"/>
      <charset val="204"/>
      <scheme val="minor"/>
    </font>
    <font>
      <b/>
      <sz val="48"/>
      <color theme="6" tint="-0.499984740745262"/>
      <name val="Calibri"/>
      <family val="2"/>
      <charset val="204"/>
      <scheme val="minor"/>
    </font>
    <font>
      <b/>
      <sz val="20"/>
      <color theme="6" tint="-0.499984740745262"/>
      <name val="Calibri"/>
      <family val="2"/>
      <charset val="204"/>
      <scheme val="minor"/>
    </font>
    <font>
      <b/>
      <sz val="16"/>
      <color theme="6" tint="-0.499984740745262"/>
      <name val="Calibri"/>
      <family val="2"/>
      <charset val="204"/>
      <scheme val="minor"/>
    </font>
    <font>
      <b/>
      <sz val="14"/>
      <color theme="6" tint="-0.499984740745262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9"/>
      <name val="Arial Cyr"/>
      <family val="2"/>
      <charset val="204"/>
    </font>
    <font>
      <b/>
      <sz val="9"/>
      <name val="Arial"/>
      <family val="2"/>
      <charset val="204"/>
    </font>
    <font>
      <sz val="8"/>
      <name val="Arial Cyr"/>
      <family val="2"/>
      <charset val="204"/>
    </font>
    <font>
      <sz val="8"/>
      <color indexed="9"/>
      <name val="Arial Cyr"/>
      <family val="2"/>
      <charset val="204"/>
    </font>
    <font>
      <i/>
      <sz val="8"/>
      <color indexed="9"/>
      <name val="Arial Cyr"/>
      <family val="2"/>
      <charset val="204"/>
    </font>
    <font>
      <b/>
      <i/>
      <sz val="8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color rgb="FFFF0000"/>
      <name val="Arial Cyr"/>
      <family val="2"/>
      <charset val="204"/>
    </font>
    <font>
      <sz val="11"/>
      <color indexed="8"/>
      <name val="Arial Cyr"/>
      <family val="2"/>
      <charset val="204"/>
    </font>
    <font>
      <sz val="8"/>
      <color indexed="8"/>
      <name val="Arial Cyr"/>
      <family val="2"/>
      <charset val="204"/>
    </font>
    <font>
      <b/>
      <sz val="9"/>
      <name val="Arial Cyr"/>
      <charset val="204"/>
    </font>
    <font>
      <b/>
      <sz val="8"/>
      <color rgb="FFFF0000"/>
      <name val="Arial Cyr"/>
      <charset val="204"/>
    </font>
    <font>
      <sz val="8"/>
      <name val="Arial Cyr"/>
      <charset val="204"/>
    </font>
    <font>
      <b/>
      <sz val="46"/>
      <color theme="6" tint="-0.499984740745262"/>
      <name val="Calibri"/>
      <family val="2"/>
      <charset val="204"/>
      <scheme val="minor"/>
    </font>
    <font>
      <sz val="11"/>
      <color theme="4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4"/>
      <color theme="6" tint="-0.499984740745262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6" tint="-0.499984740745262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sz val="10"/>
      <color rgb="FF0070C0"/>
      <name val="Arial Cyr"/>
      <family val="2"/>
      <charset val="204"/>
    </font>
    <font>
      <b/>
      <sz val="10"/>
      <name val="Arial Cyr"/>
      <charset val="204"/>
    </font>
    <font>
      <sz val="11"/>
      <color rgb="FF0070C0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0"/>
      <color rgb="FF0070C0"/>
      <name val="Arial Cyr"/>
      <family val="2"/>
      <charset val="204"/>
    </font>
    <font>
      <b/>
      <sz val="8"/>
      <color indexed="9"/>
      <name val="Arial Cyr"/>
      <family val="2"/>
      <charset val="204"/>
    </font>
    <font>
      <b/>
      <sz val="11"/>
      <color indexed="8"/>
      <name val="Arial Cyr"/>
      <family val="2"/>
      <charset val="204"/>
    </font>
    <font>
      <sz val="8"/>
      <color theme="3"/>
      <name val="Arial Cyr"/>
      <family val="2"/>
      <charset val="204"/>
    </font>
    <font>
      <b/>
      <sz val="8"/>
      <color theme="3"/>
      <name val="Arial Cyr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8"/>
      <color rgb="FF0070C0"/>
      <name val="Arial Cyr"/>
      <charset val="204"/>
    </font>
    <font>
      <sz val="8"/>
      <color rgb="FF0070C0"/>
      <name val="Arial Cyr"/>
      <charset val="204"/>
    </font>
    <font>
      <b/>
      <i/>
      <sz val="8"/>
      <color rgb="FF0070C0"/>
      <name val="Arial Cyr"/>
      <charset val="204"/>
    </font>
    <font>
      <b/>
      <sz val="14"/>
      <name val="Calibri"/>
      <family val="2"/>
      <charset val="204"/>
      <scheme val="minor"/>
    </font>
    <font>
      <b/>
      <sz val="16"/>
      <color theme="1" tint="0.34998626667073579"/>
      <name val="Calibri"/>
      <family val="2"/>
      <charset val="204"/>
      <scheme val="minor"/>
    </font>
    <font>
      <b/>
      <sz val="20"/>
      <color theme="1" tint="0.34998626667073579"/>
      <name val="Calibri"/>
      <family val="2"/>
      <charset val="204"/>
      <scheme val="minor"/>
    </font>
    <font>
      <sz val="8"/>
      <color rgb="FF0070C0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8" fillId="0" borderId="0" applyFont="0" applyFill="0" applyBorder="0" applyAlignment="0" applyProtection="0"/>
    <xf numFmtId="164" fontId="18" fillId="0" borderId="0" applyFont="0" applyFill="0" applyBorder="0" applyAlignment="0" applyProtection="0"/>
  </cellStyleXfs>
  <cellXfs count="359">
    <xf numFmtId="0" fontId="0" fillId="0" borderId="0" xfId="0"/>
    <xf numFmtId="0" fontId="28" fillId="6" borderId="0" xfId="0" applyFont="1" applyFill="1" applyProtection="1">
      <protection locked="0"/>
    </xf>
    <xf numFmtId="0" fontId="19" fillId="6" borderId="0" xfId="0" applyFont="1" applyFill="1" applyBorder="1" applyAlignment="1" applyProtection="1">
      <alignment horizontal="left" vertical="center"/>
    </xf>
    <xf numFmtId="3" fontId="51" fillId="2" borderId="1" xfId="1" applyNumberFormat="1" applyFont="1" applyFill="1" applyBorder="1" applyAlignment="1" applyProtection="1">
      <alignment horizontal="center" vertical="center"/>
      <protection locked="0"/>
    </xf>
    <xf numFmtId="3" fontId="51" fillId="2" borderId="12" xfId="1" applyNumberFormat="1" applyFont="1" applyFill="1" applyBorder="1" applyAlignment="1" applyProtection="1">
      <alignment horizontal="center" vertical="center"/>
      <protection locked="0"/>
    </xf>
    <xf numFmtId="9" fontId="8" fillId="2" borderId="1" xfId="2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Alignment="1" applyProtection="1"/>
    <xf numFmtId="0" fontId="0" fillId="0" borderId="0" xfId="0" applyProtection="1"/>
    <xf numFmtId="0" fontId="2" fillId="0" borderId="0" xfId="0" applyFont="1" applyProtection="1"/>
    <xf numFmtId="0" fontId="12" fillId="3" borderId="0" xfId="3" applyFont="1" applyFill="1" applyBorder="1" applyAlignment="1" applyProtection="1">
      <alignment vertical="center"/>
    </xf>
    <xf numFmtId="0" fontId="12" fillId="3" borderId="0" xfId="3" applyFont="1" applyFill="1" applyBorder="1" applyAlignment="1" applyProtection="1">
      <alignment vertical="center" wrapText="1"/>
    </xf>
    <xf numFmtId="0" fontId="12" fillId="3" borderId="0" xfId="3" applyFont="1" applyFill="1" applyBorder="1" applyAlignment="1" applyProtection="1">
      <alignment horizontal="right" vertical="center"/>
    </xf>
    <xf numFmtId="1" fontId="24" fillId="3" borderId="0" xfId="3" applyNumberFormat="1" applyFont="1" applyFill="1" applyBorder="1" applyAlignment="1" applyProtection="1">
      <alignment horizontal="left" vertical="center"/>
    </xf>
    <xf numFmtId="0" fontId="13" fillId="3" borderId="0" xfId="3" applyFont="1" applyFill="1" applyBorder="1" applyAlignment="1" applyProtection="1">
      <alignment vertical="center" wrapText="1"/>
    </xf>
    <xf numFmtId="0" fontId="11" fillId="3" borderId="0" xfId="3" applyFont="1" applyFill="1" applyProtection="1"/>
    <xf numFmtId="0" fontId="37" fillId="3" borderId="0" xfId="3" applyFont="1" applyFill="1" applyProtection="1"/>
    <xf numFmtId="0" fontId="24" fillId="3" borderId="0" xfId="3" applyFont="1" applyFill="1" applyBorder="1" applyAlignment="1" applyProtection="1">
      <alignment horizontal="left" vertical="center"/>
    </xf>
    <xf numFmtId="0" fontId="11" fillId="0" borderId="0" xfId="3" applyFont="1" applyProtection="1"/>
    <xf numFmtId="0" fontId="14" fillId="0" borderId="0" xfId="3" applyFont="1" applyProtection="1"/>
    <xf numFmtId="0" fontId="34" fillId="0" borderId="0" xfId="3" applyFont="1" applyProtection="1"/>
    <xf numFmtId="0" fontId="38" fillId="0" borderId="0" xfId="3" applyFont="1" applyProtection="1"/>
    <xf numFmtId="0" fontId="14" fillId="6" borderId="0" xfId="3" applyFont="1" applyFill="1" applyBorder="1" applyProtection="1"/>
    <xf numFmtId="0" fontId="11" fillId="6" borderId="0" xfId="3" applyFont="1" applyFill="1" applyBorder="1" applyProtection="1"/>
    <xf numFmtId="0" fontId="37" fillId="6" borderId="0" xfId="3" applyFont="1" applyFill="1" applyBorder="1" applyProtection="1"/>
    <xf numFmtId="0" fontId="11" fillId="0" borderId="0" xfId="3" applyFont="1" applyBorder="1" applyAlignment="1" applyProtection="1">
      <alignment horizontal="left" vertical="center" wrapText="1"/>
    </xf>
    <xf numFmtId="0" fontId="15" fillId="4" borderId="6" xfId="3" applyFont="1" applyFill="1" applyBorder="1" applyAlignment="1" applyProtection="1">
      <alignment vertical="center"/>
    </xf>
    <xf numFmtId="0" fontId="14" fillId="0" borderId="0" xfId="3" applyFont="1" applyBorder="1" applyAlignment="1" applyProtection="1">
      <alignment horizontal="left" vertical="center" wrapText="1"/>
    </xf>
    <xf numFmtId="0" fontId="15" fillId="4" borderId="9" xfId="3" applyFont="1" applyFill="1" applyBorder="1" applyAlignment="1" applyProtection="1">
      <alignment horizontal="center" vertical="center"/>
    </xf>
    <xf numFmtId="0" fontId="39" fillId="4" borderId="9" xfId="3" applyFont="1" applyFill="1" applyBorder="1" applyAlignment="1" applyProtection="1">
      <alignment horizontal="center" vertical="center" wrapText="1"/>
    </xf>
    <xf numFmtId="165" fontId="16" fillId="4" borderId="6" xfId="3" applyNumberFormat="1" applyFont="1" applyFill="1" applyBorder="1" applyAlignment="1" applyProtection="1">
      <alignment horizontal="center" vertical="center"/>
    </xf>
    <xf numFmtId="0" fontId="14" fillId="6" borderId="0" xfId="3" applyFont="1" applyFill="1" applyProtection="1"/>
    <xf numFmtId="9" fontId="14" fillId="6" borderId="0" xfId="3" applyNumberFormat="1" applyFont="1" applyFill="1" applyBorder="1" applyAlignment="1" applyProtection="1">
      <alignment horizontal="center" vertical="center"/>
    </xf>
    <xf numFmtId="9" fontId="20" fillId="6" borderId="0" xfId="3" applyNumberFormat="1" applyFont="1" applyFill="1" applyBorder="1" applyAlignment="1" applyProtection="1">
      <alignment horizontal="center" vertical="center"/>
    </xf>
    <xf numFmtId="0" fontId="11" fillId="6" borderId="0" xfId="3" applyFont="1" applyFill="1" applyProtection="1"/>
    <xf numFmtId="0" fontId="14" fillId="6" borderId="0" xfId="3" applyFont="1" applyFill="1" applyBorder="1" applyAlignment="1" applyProtection="1">
      <alignment horizontal="left" vertical="center"/>
    </xf>
    <xf numFmtId="0" fontId="14" fillId="6" borderId="0" xfId="3" applyFont="1" applyFill="1" applyBorder="1" applyAlignment="1" applyProtection="1">
      <alignment horizontal="center" vertical="center"/>
    </xf>
    <xf numFmtId="0" fontId="20" fillId="0" borderId="0" xfId="3" applyFont="1" applyProtection="1"/>
    <xf numFmtId="0" fontId="15" fillId="4" borderId="6" xfId="0" applyFont="1" applyFill="1" applyBorder="1" applyAlignment="1" applyProtection="1">
      <alignment vertical="center"/>
    </xf>
    <xf numFmtId="0" fontId="15" fillId="4" borderId="6" xfId="0" applyFont="1" applyFill="1" applyBorder="1" applyAlignment="1" applyProtection="1">
      <alignment horizontal="center" vertical="center"/>
    </xf>
    <xf numFmtId="0" fontId="15" fillId="4" borderId="9" xfId="0" applyFont="1" applyFill="1" applyBorder="1" applyAlignment="1" applyProtection="1">
      <alignment horizontal="center" vertical="center"/>
    </xf>
    <xf numFmtId="0" fontId="39" fillId="4" borderId="9" xfId="0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0" fontId="14" fillId="0" borderId="0" xfId="0" applyFont="1" applyFill="1" applyBorder="1" applyAlignment="1" applyProtection="1">
      <alignment horizontal="center" vertical="center"/>
    </xf>
    <xf numFmtId="3" fontId="14" fillId="0" borderId="0" xfId="0" applyNumberFormat="1" applyFont="1" applyFill="1" applyBorder="1" applyAlignment="1" applyProtection="1">
      <alignment vertical="center"/>
    </xf>
    <xf numFmtId="3" fontId="20" fillId="0" borderId="0" xfId="0" applyNumberFormat="1" applyFont="1" applyFill="1" applyBorder="1" applyAlignment="1" applyProtection="1">
      <alignment vertical="center"/>
    </xf>
    <xf numFmtId="3" fontId="17" fillId="6" borderId="0" xfId="0" applyNumberFormat="1" applyFont="1" applyFill="1" applyBorder="1" applyAlignment="1" applyProtection="1">
      <alignment vertical="center"/>
    </xf>
    <xf numFmtId="3" fontId="14" fillId="0" borderId="0" xfId="4" applyNumberFormat="1" applyFont="1" applyFill="1" applyProtection="1"/>
    <xf numFmtId="3" fontId="14" fillId="0" borderId="0" xfId="0" applyNumberFormat="1" applyFont="1" applyFill="1" applyProtection="1"/>
    <xf numFmtId="0" fontId="14" fillId="5" borderId="0" xfId="0" applyFont="1" applyFill="1" applyBorder="1" applyAlignment="1" applyProtection="1">
      <alignment horizontal="center" vertical="center"/>
    </xf>
    <xf numFmtId="3" fontId="14" fillId="5" borderId="0" xfId="0" applyNumberFormat="1" applyFont="1" applyFill="1" applyBorder="1" applyAlignment="1" applyProtection="1">
      <alignment vertical="center"/>
    </xf>
    <xf numFmtId="3" fontId="20" fillId="5" borderId="0" xfId="0" applyNumberFormat="1" applyFont="1" applyFill="1" applyBorder="1" applyAlignment="1" applyProtection="1">
      <alignment vertical="center"/>
    </xf>
    <xf numFmtId="3" fontId="14" fillId="0" borderId="0" xfId="4" applyNumberFormat="1" applyFont="1" applyProtection="1"/>
    <xf numFmtId="3" fontId="14" fillId="0" borderId="0" xfId="0" applyNumberFormat="1" applyFont="1" applyProtection="1"/>
    <xf numFmtId="0" fontId="19" fillId="0" borderId="7" xfId="0" applyFont="1" applyFill="1" applyBorder="1" applyAlignment="1" applyProtection="1">
      <alignment vertical="center"/>
    </xf>
    <xf numFmtId="0" fontId="14" fillId="0" borderId="7" xfId="0" applyFont="1" applyFill="1" applyBorder="1" applyAlignment="1" applyProtection="1">
      <alignment horizontal="center" vertical="center"/>
    </xf>
    <xf numFmtId="3" fontId="19" fillId="0" borderId="7" xfId="0" applyNumberFormat="1" applyFont="1" applyFill="1" applyBorder="1" applyAlignment="1" applyProtection="1">
      <alignment vertical="center"/>
    </xf>
    <xf numFmtId="9" fontId="14" fillId="0" borderId="0" xfId="4" applyFont="1" applyFill="1" applyProtection="1"/>
    <xf numFmtId="0" fontId="14" fillId="0" borderId="0" xfId="0" applyFont="1" applyFill="1" applyProtection="1"/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4" fontId="14" fillId="0" borderId="0" xfId="0" applyNumberFormat="1" applyFont="1" applyAlignment="1" applyProtection="1">
      <alignment vertical="center"/>
    </xf>
    <xf numFmtId="0" fontId="20" fillId="0" borderId="0" xfId="0" applyFont="1" applyProtection="1"/>
    <xf numFmtId="0" fontId="39" fillId="4" borderId="6" xfId="0" applyFont="1" applyFill="1" applyBorder="1" applyAlignment="1" applyProtection="1">
      <alignment horizontal="center" vertical="center" wrapText="1"/>
    </xf>
    <xf numFmtId="9" fontId="14" fillId="0" borderId="0" xfId="0" applyNumberFormat="1" applyFont="1" applyFill="1" applyBorder="1" applyAlignment="1" applyProtection="1">
      <alignment horizontal="left" vertical="center"/>
    </xf>
    <xf numFmtId="9" fontId="14" fillId="5" borderId="0" xfId="0" applyNumberFormat="1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0" fontId="15" fillId="4" borderId="6" xfId="3" applyFont="1" applyFill="1" applyBorder="1" applyAlignment="1" applyProtection="1">
      <alignment horizontal="center" vertical="center"/>
    </xf>
    <xf numFmtId="3" fontId="19" fillId="6" borderId="7" xfId="0" applyNumberFormat="1" applyFont="1" applyFill="1" applyBorder="1" applyAlignment="1" applyProtection="1">
      <alignment vertical="center"/>
    </xf>
    <xf numFmtId="0" fontId="46" fillId="6" borderId="0" xfId="3" applyFont="1" applyFill="1" applyBorder="1" applyAlignment="1" applyProtection="1">
      <alignment horizontal="left" vertical="center"/>
    </xf>
    <xf numFmtId="0" fontId="47" fillId="6" borderId="0" xfId="3" applyFont="1" applyFill="1" applyBorder="1" applyAlignment="1" applyProtection="1">
      <alignment horizontal="center" vertical="center"/>
    </xf>
    <xf numFmtId="4" fontId="46" fillId="6" borderId="0" xfId="3" applyNumberFormat="1" applyFont="1" applyFill="1" applyBorder="1" applyAlignment="1" applyProtection="1">
      <alignment vertical="center"/>
    </xf>
    <xf numFmtId="4" fontId="48" fillId="6" borderId="0" xfId="0" applyNumberFormat="1" applyFont="1" applyFill="1" applyBorder="1" applyAlignment="1" applyProtection="1">
      <alignment vertical="center"/>
    </xf>
    <xf numFmtId="0" fontId="47" fillId="6" borderId="0" xfId="3" applyFont="1" applyFill="1" applyProtection="1"/>
    <xf numFmtId="165" fontId="15" fillId="4" borderId="6" xfId="3" applyNumberFormat="1" applyFont="1" applyFill="1" applyBorder="1" applyAlignment="1" applyProtection="1">
      <alignment horizontal="center" vertical="center" wrapText="1"/>
    </xf>
    <xf numFmtId="3" fontId="14" fillId="6" borderId="0" xfId="0" applyNumberFormat="1" applyFont="1" applyFill="1" applyBorder="1" applyAlignment="1" applyProtection="1">
      <alignment vertical="center"/>
    </xf>
    <xf numFmtId="0" fontId="20" fillId="6" borderId="7" xfId="3" applyFont="1" applyFill="1" applyBorder="1" applyAlignment="1" applyProtection="1">
      <alignment horizontal="left" vertical="center"/>
    </xf>
    <xf numFmtId="0" fontId="14" fillId="6" borderId="7" xfId="3" applyFont="1" applyFill="1" applyBorder="1" applyAlignment="1" applyProtection="1">
      <alignment horizontal="center" vertical="center"/>
    </xf>
    <xf numFmtId="3" fontId="20" fillId="6" borderId="7" xfId="3" applyNumberFormat="1" applyFont="1" applyFill="1" applyBorder="1" applyAlignment="1" applyProtection="1">
      <alignment vertical="center"/>
    </xf>
    <xf numFmtId="0" fontId="14" fillId="0" borderId="0" xfId="3" applyFont="1" applyBorder="1" applyAlignment="1" applyProtection="1">
      <alignment vertical="center"/>
    </xf>
    <xf numFmtId="0" fontId="14" fillId="0" borderId="0" xfId="3" applyFont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vertical="center"/>
    </xf>
    <xf numFmtId="0" fontId="20" fillId="0" borderId="0" xfId="3" applyFont="1" applyBorder="1" applyAlignment="1" applyProtection="1">
      <alignment vertical="center"/>
    </xf>
    <xf numFmtId="165" fontId="15" fillId="4" borderId="6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left" vertical="center"/>
    </xf>
    <xf numFmtId="168" fontId="14" fillId="0" borderId="0" xfId="0" applyNumberFormat="1" applyFont="1" applyFill="1" applyBorder="1" applyAlignment="1" applyProtection="1">
      <alignment vertical="center"/>
    </xf>
    <xf numFmtId="168" fontId="20" fillId="0" borderId="0" xfId="0" applyNumberFormat="1" applyFont="1" applyFill="1" applyBorder="1" applyAlignment="1" applyProtection="1">
      <alignment vertical="center"/>
    </xf>
    <xf numFmtId="168" fontId="17" fillId="6" borderId="0" xfId="3" applyNumberFormat="1" applyFont="1" applyFill="1" applyBorder="1" applyAlignment="1" applyProtection="1">
      <alignment vertical="center"/>
    </xf>
    <xf numFmtId="168" fontId="14" fillId="6" borderId="0" xfId="0" applyNumberFormat="1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horizontal="left" vertical="center"/>
    </xf>
    <xf numFmtId="168" fontId="17" fillId="0" borderId="0" xfId="3" applyNumberFormat="1" applyFont="1" applyFill="1" applyBorder="1" applyAlignment="1" applyProtection="1">
      <alignment vertical="center"/>
    </xf>
    <xf numFmtId="0" fontId="26" fillId="6" borderId="0" xfId="0" applyFont="1" applyFill="1" applyBorder="1" applyAlignment="1" applyProtection="1">
      <alignment horizontal="left" vertical="center"/>
    </xf>
    <xf numFmtId="0" fontId="14" fillId="6" borderId="0" xfId="0" applyFont="1" applyFill="1" applyBorder="1" applyAlignment="1" applyProtection="1">
      <alignment horizontal="center" vertical="center"/>
    </xf>
    <xf numFmtId="0" fontId="14" fillId="6" borderId="0" xfId="0" applyFont="1" applyFill="1" applyProtection="1"/>
    <xf numFmtId="0" fontId="25" fillId="6" borderId="0" xfId="0" applyFont="1" applyFill="1" applyBorder="1" applyAlignment="1" applyProtection="1">
      <alignment horizontal="left" vertical="center"/>
    </xf>
    <xf numFmtId="3" fontId="14" fillId="0" borderId="0" xfId="0" applyNumberFormat="1" applyFont="1" applyFill="1" applyBorder="1" applyAlignment="1" applyProtection="1">
      <alignment horizontal="left" vertical="center"/>
    </xf>
    <xf numFmtId="3" fontId="17" fillId="0" borderId="0" xfId="3" applyNumberFormat="1" applyFont="1" applyFill="1" applyBorder="1" applyAlignment="1" applyProtection="1">
      <alignment vertical="center"/>
    </xf>
    <xf numFmtId="3" fontId="14" fillId="0" borderId="0" xfId="0" applyNumberFormat="1" applyFont="1" applyBorder="1" applyAlignment="1" applyProtection="1">
      <alignment vertical="center"/>
    </xf>
    <xf numFmtId="3" fontId="14" fillId="6" borderId="0" xfId="0" applyNumberFormat="1" applyFont="1" applyFill="1" applyBorder="1" applyAlignment="1" applyProtection="1">
      <alignment horizontal="left" vertical="center"/>
    </xf>
    <xf numFmtId="3" fontId="17" fillId="6" borderId="0" xfId="3" applyNumberFormat="1" applyFont="1" applyFill="1" applyBorder="1" applyAlignment="1" applyProtection="1">
      <alignment vertical="center"/>
    </xf>
    <xf numFmtId="3" fontId="14" fillId="6" borderId="0" xfId="0" applyNumberFormat="1" applyFont="1" applyFill="1" applyProtection="1"/>
    <xf numFmtId="3" fontId="20" fillId="0" borderId="0" xfId="0" applyNumberFormat="1" applyFont="1" applyBorder="1" applyAlignment="1" applyProtection="1">
      <alignment vertical="center"/>
    </xf>
    <xf numFmtId="0" fontId="39" fillId="4" borderId="6" xfId="0" applyFont="1" applyFill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left" vertical="center" wrapText="1"/>
    </xf>
    <xf numFmtId="0" fontId="23" fillId="0" borderId="0" xfId="0" applyFont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vertical="center"/>
    </xf>
    <xf numFmtId="10" fontId="17" fillId="0" borderId="0" xfId="0" applyNumberFormat="1" applyFont="1" applyBorder="1" applyAlignment="1" applyProtection="1">
      <alignment vertical="center"/>
    </xf>
    <xf numFmtId="166" fontId="14" fillId="0" borderId="0" xfId="0" applyNumberFormat="1" applyFont="1" applyFill="1" applyBorder="1" applyAlignment="1" applyProtection="1">
      <alignment horizontal="left" vertical="center"/>
    </xf>
    <xf numFmtId="9" fontId="14" fillId="6" borderId="0" xfId="2" applyFont="1" applyFill="1" applyBorder="1" applyAlignment="1" applyProtection="1">
      <alignment horizontal="center" vertical="center"/>
    </xf>
    <xf numFmtId="9" fontId="14" fillId="6" borderId="0" xfId="2" applyFont="1" applyFill="1" applyBorder="1" applyAlignment="1" applyProtection="1">
      <alignment vertical="center"/>
    </xf>
    <xf numFmtId="166" fontId="20" fillId="0" borderId="0" xfId="0" applyNumberFormat="1" applyFont="1" applyFill="1" applyBorder="1" applyAlignment="1" applyProtection="1">
      <alignment vertical="center"/>
    </xf>
    <xf numFmtId="166" fontId="17" fillId="0" borderId="0" xfId="0" applyNumberFormat="1" applyFont="1" applyFill="1" applyBorder="1" applyAlignment="1" applyProtection="1">
      <alignment vertical="center"/>
    </xf>
    <xf numFmtId="166" fontId="14" fillId="0" borderId="0" xfId="0" applyNumberFormat="1" applyFont="1" applyProtection="1"/>
    <xf numFmtId="166" fontId="14" fillId="6" borderId="0" xfId="0" applyNumberFormat="1" applyFont="1" applyFill="1" applyBorder="1" applyAlignment="1" applyProtection="1">
      <alignment horizontal="left" vertical="center"/>
    </xf>
    <xf numFmtId="168" fontId="52" fillId="6" borderId="0" xfId="0" applyNumberFormat="1" applyFont="1" applyFill="1" applyProtection="1"/>
    <xf numFmtId="166" fontId="20" fillId="6" borderId="0" xfId="0" applyNumberFormat="1" applyFont="1" applyFill="1" applyBorder="1" applyAlignment="1" applyProtection="1">
      <alignment vertical="center"/>
    </xf>
    <xf numFmtId="166" fontId="17" fillId="6" borderId="0" xfId="0" applyNumberFormat="1" applyFont="1" applyFill="1" applyBorder="1" applyAlignment="1" applyProtection="1">
      <alignment vertical="center"/>
    </xf>
    <xf numFmtId="166" fontId="14" fillId="6" borderId="0" xfId="0" applyNumberFormat="1" applyFont="1" applyFill="1" applyProtection="1"/>
    <xf numFmtId="0" fontId="14" fillId="6" borderId="0" xfId="0" applyFont="1" applyFill="1" applyBorder="1" applyAlignment="1" applyProtection="1">
      <alignment horizontal="left" vertical="center"/>
    </xf>
    <xf numFmtId="4" fontId="14" fillId="0" borderId="0" xfId="0" applyNumberFormat="1" applyFont="1" applyFill="1" applyBorder="1" applyAlignment="1" applyProtection="1">
      <alignment vertical="center"/>
    </xf>
    <xf numFmtId="4" fontId="20" fillId="0" borderId="0" xfId="0" applyNumberFormat="1" applyFont="1" applyFill="1" applyBorder="1" applyAlignment="1" applyProtection="1">
      <alignment vertical="center"/>
    </xf>
    <xf numFmtId="4" fontId="14" fillId="0" borderId="0" xfId="0" applyNumberFormat="1" applyFont="1" applyFill="1" applyBorder="1" applyAlignment="1" applyProtection="1">
      <alignment horizontal="center" vertical="center"/>
    </xf>
    <xf numFmtId="4" fontId="17" fillId="0" borderId="0" xfId="0" applyNumberFormat="1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right"/>
    </xf>
    <xf numFmtId="4" fontId="20" fillId="0" borderId="1" xfId="0" applyNumberFormat="1" applyFont="1" applyFill="1" applyBorder="1" applyAlignment="1" applyProtection="1">
      <alignment vertical="center"/>
    </xf>
    <xf numFmtId="0" fontId="20" fillId="0" borderId="0" xfId="0" applyFont="1" applyAlignment="1" applyProtection="1">
      <alignment horizontal="right"/>
    </xf>
    <xf numFmtId="1" fontId="20" fillId="0" borderId="1" xfId="0" applyNumberFormat="1" applyFont="1" applyFill="1" applyBorder="1" applyProtection="1"/>
    <xf numFmtId="4" fontId="14" fillId="0" borderId="0" xfId="3" applyNumberFormat="1" applyFont="1" applyFill="1" applyBorder="1" applyAlignment="1" applyProtection="1">
      <alignment vertical="center"/>
    </xf>
    <xf numFmtId="4" fontId="14" fillId="0" borderId="0" xfId="0" applyNumberFormat="1" applyFont="1" applyFill="1" applyProtection="1"/>
    <xf numFmtId="4" fontId="19" fillId="0" borderId="0" xfId="0" applyNumberFormat="1" applyFont="1" applyProtection="1"/>
    <xf numFmtId="0" fontId="41" fillId="0" borderId="0" xfId="0" applyFont="1" applyProtection="1"/>
    <xf numFmtId="0" fontId="41" fillId="0" borderId="0" xfId="0" applyFont="1" applyFill="1" applyProtection="1"/>
    <xf numFmtId="0" fontId="42" fillId="0" borderId="0" xfId="0" applyFont="1" applyFill="1" applyProtection="1"/>
    <xf numFmtId="0" fontId="23" fillId="0" borderId="0" xfId="0" applyFont="1" applyProtection="1"/>
    <xf numFmtId="0" fontId="22" fillId="0" borderId="0" xfId="0" applyFont="1" applyProtection="1"/>
    <xf numFmtId="0" fontId="40" fillId="0" borderId="0" xfId="0" applyFont="1" applyProtection="1"/>
    <xf numFmtId="0" fontId="37" fillId="0" borderId="0" xfId="3" applyFont="1" applyProtection="1"/>
    <xf numFmtId="0" fontId="6" fillId="0" borderId="0" xfId="0" applyFont="1" applyAlignment="1" applyProtection="1">
      <alignment horizontal="center" vertical="center" wrapText="1"/>
    </xf>
    <xf numFmtId="0" fontId="28" fillId="6" borderId="0" xfId="0" applyFont="1" applyFill="1" applyProtection="1"/>
    <xf numFmtId="0" fontId="28" fillId="0" borderId="0" xfId="0" applyFont="1" applyProtection="1"/>
    <xf numFmtId="0" fontId="36" fillId="0" borderId="0" xfId="0" applyFont="1" applyProtection="1"/>
    <xf numFmtId="0" fontId="29" fillId="0" borderId="5" xfId="0" applyFont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right" vertical="center"/>
    </xf>
    <xf numFmtId="0" fontId="27" fillId="0" borderId="0" xfId="0" applyFont="1" applyAlignment="1" applyProtection="1">
      <alignment horizontal="center" vertical="center"/>
    </xf>
    <xf numFmtId="0" fontId="3" fillId="6" borderId="0" xfId="0" applyFont="1" applyFill="1" applyProtection="1"/>
    <xf numFmtId="0" fontId="29" fillId="0" borderId="0" xfId="0" applyFont="1" applyAlignment="1" applyProtection="1">
      <alignment horizontal="left" vertical="center"/>
    </xf>
    <xf numFmtId="0" fontId="5" fillId="6" borderId="0" xfId="0" applyFont="1" applyFill="1" applyAlignment="1" applyProtection="1">
      <alignment vertical="center"/>
    </xf>
    <xf numFmtId="0" fontId="31" fillId="0" borderId="0" xfId="0" applyFont="1" applyAlignment="1" applyProtection="1">
      <alignment vertical="center"/>
    </xf>
    <xf numFmtId="0" fontId="0" fillId="0" borderId="0" xfId="0" applyBorder="1" applyProtection="1"/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8" fillId="0" borderId="0" xfId="0" applyFont="1" applyAlignment="1" applyProtection="1">
      <alignment vertical="center"/>
    </xf>
    <xf numFmtId="0" fontId="36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3" fontId="8" fillId="6" borderId="1" xfId="2" applyNumberFormat="1" applyFont="1" applyFill="1" applyBorder="1" applyAlignment="1" applyProtection="1">
      <alignment horizontal="center" vertical="center"/>
    </xf>
    <xf numFmtId="9" fontId="10" fillId="6" borderId="0" xfId="2" applyFont="1" applyFill="1" applyBorder="1" applyAlignment="1" applyProtection="1">
      <alignment horizontal="left" vertical="center" indent="1"/>
    </xf>
    <xf numFmtId="10" fontId="28" fillId="0" borderId="0" xfId="2" applyNumberFormat="1" applyFont="1" applyProtection="1"/>
    <xf numFmtId="14" fontId="0" fillId="0" borderId="0" xfId="0" applyNumberFormat="1" applyProtection="1"/>
    <xf numFmtId="14" fontId="0" fillId="0" borderId="0" xfId="0" applyNumberFormat="1" applyAlignment="1" applyProtection="1">
      <alignment vertical="center"/>
    </xf>
    <xf numFmtId="0" fontId="31" fillId="6" borderId="0" xfId="0" applyFont="1" applyFill="1" applyAlignment="1" applyProtection="1">
      <alignment vertical="center"/>
    </xf>
    <xf numFmtId="0" fontId="0" fillId="0" borderId="0" xfId="0" applyAlignment="1" applyProtection="1">
      <alignment horizontal="left" indent="1"/>
    </xf>
    <xf numFmtId="0" fontId="4" fillId="0" borderId="1" xfId="0" applyFont="1" applyBorder="1" applyAlignment="1" applyProtection="1">
      <alignment horizontal="center" vertical="center" wrapText="1"/>
    </xf>
    <xf numFmtId="0" fontId="0" fillId="6" borderId="0" xfId="0" applyFill="1" applyBorder="1" applyProtection="1"/>
    <xf numFmtId="0" fontId="33" fillId="0" borderId="0" xfId="0" applyFont="1" applyProtection="1"/>
    <xf numFmtId="3" fontId="9" fillId="6" borderId="0" xfId="1" applyNumberFormat="1" applyFont="1" applyFill="1" applyBorder="1" applyAlignment="1" applyProtection="1">
      <alignment vertical="center"/>
    </xf>
    <xf numFmtId="0" fontId="2" fillId="6" borderId="0" xfId="0" applyFont="1" applyFill="1" applyBorder="1" applyProtection="1"/>
    <xf numFmtId="3" fontId="0" fillId="0" borderId="0" xfId="0" applyNumberFormat="1" applyProtection="1"/>
    <xf numFmtId="0" fontId="2" fillId="0" borderId="0" xfId="0" applyFont="1" applyBorder="1" applyAlignment="1" applyProtection="1">
      <alignment vertical="center" wrapText="1"/>
    </xf>
    <xf numFmtId="0" fontId="49" fillId="0" borderId="1" xfId="0" applyFont="1" applyBorder="1" applyAlignment="1" applyProtection="1">
      <alignment horizontal="center" vertical="center" wrapText="1"/>
    </xf>
    <xf numFmtId="3" fontId="8" fillId="6" borderId="1" xfId="1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9" fontId="10" fillId="0" borderId="0" xfId="2" applyFont="1" applyBorder="1" applyAlignment="1" applyProtection="1">
      <alignment horizontal="left" vertical="center" wrapText="1"/>
    </xf>
    <xf numFmtId="3" fontId="51" fillId="6" borderId="1" xfId="1" applyNumberFormat="1" applyFont="1" applyFill="1" applyBorder="1" applyAlignment="1" applyProtection="1">
      <alignment horizontal="center" vertical="center"/>
    </xf>
    <xf numFmtId="0" fontId="5" fillId="6" borderId="0" xfId="0" applyFont="1" applyFill="1" applyBorder="1" applyAlignment="1" applyProtection="1">
      <alignment vertical="center"/>
    </xf>
    <xf numFmtId="3" fontId="8" fillId="6" borderId="0" xfId="1" applyNumberFormat="1" applyFont="1" applyFill="1" applyBorder="1" applyAlignment="1" applyProtection="1">
      <alignment horizontal="center" vertical="center"/>
    </xf>
    <xf numFmtId="9" fontId="9" fillId="6" borderId="0" xfId="2" applyFont="1" applyFill="1" applyBorder="1" applyAlignment="1" applyProtection="1">
      <alignment vertical="center"/>
    </xf>
    <xf numFmtId="3" fontId="30" fillId="6" borderId="7" xfId="1" applyNumberFormat="1" applyFont="1" applyFill="1" applyBorder="1" applyAlignment="1" applyProtection="1">
      <alignment horizontal="center" vertical="center"/>
    </xf>
    <xf numFmtId="9" fontId="10" fillId="0" borderId="0" xfId="2" applyFont="1" applyBorder="1" applyAlignment="1" applyProtection="1">
      <alignment horizontal="left" vertical="center" wrapText="1" indent="1"/>
    </xf>
    <xf numFmtId="0" fontId="0" fillId="0" borderId="0" xfId="0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left" indent="1"/>
    </xf>
    <xf numFmtId="9" fontId="10" fillId="0" borderId="0" xfId="2" applyFont="1" applyBorder="1" applyAlignment="1" applyProtection="1">
      <alignment horizontal="left" vertical="center" indent="1"/>
    </xf>
    <xf numFmtId="0" fontId="0" fillId="0" borderId="5" xfId="0" applyBorder="1" applyProtection="1"/>
    <xf numFmtId="0" fontId="0" fillId="0" borderId="5" xfId="0" applyBorder="1" applyAlignment="1" applyProtection="1">
      <alignment horizontal="left" indent="1"/>
    </xf>
    <xf numFmtId="0" fontId="2" fillId="6" borderId="0" xfId="0" applyFont="1" applyFill="1" applyBorder="1" applyAlignment="1" applyProtection="1"/>
    <xf numFmtId="0" fontId="29" fillId="0" borderId="0" xfId="0" applyFont="1" applyAlignment="1" applyProtection="1">
      <alignment vertical="center"/>
    </xf>
    <xf numFmtId="0" fontId="36" fillId="6" borderId="0" xfId="0" applyFont="1" applyFill="1" applyProtection="1"/>
    <xf numFmtId="0" fontId="29" fillId="0" borderId="0" xfId="0" applyFont="1" applyAlignment="1" applyProtection="1">
      <alignment horizontal="right" vertical="center"/>
    </xf>
    <xf numFmtId="164" fontId="28" fillId="0" borderId="0" xfId="1" applyFont="1" applyAlignment="1" applyProtection="1">
      <alignment vertical="center" wrapText="1"/>
    </xf>
    <xf numFmtId="0" fontId="28" fillId="0" borderId="0" xfId="0" applyFont="1" applyBorder="1" applyProtection="1"/>
    <xf numFmtId="0" fontId="36" fillId="0" borderId="0" xfId="0" applyFont="1" applyBorder="1" applyProtection="1"/>
    <xf numFmtId="0" fontId="54" fillId="6" borderId="0" xfId="0" applyFont="1" applyFill="1" applyAlignment="1" applyProtection="1">
      <alignment vertical="center"/>
    </xf>
    <xf numFmtId="0" fontId="43" fillId="6" borderId="0" xfId="0" applyFont="1" applyFill="1" applyBorder="1" applyAlignment="1" applyProtection="1">
      <alignment horizontal="left" wrapText="1"/>
    </xf>
    <xf numFmtId="9" fontId="33" fillId="0" borderId="0" xfId="0" applyNumberFormat="1" applyFont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33" fillId="0" borderId="0" xfId="0" applyFont="1" applyBorder="1" applyProtection="1"/>
    <xf numFmtId="0" fontId="28" fillId="0" borderId="0" xfId="0" applyFont="1" applyProtection="1">
      <protection locked="0"/>
    </xf>
    <xf numFmtId="0" fontId="36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vertical="center"/>
      <protection locked="0"/>
    </xf>
    <xf numFmtId="0" fontId="36" fillId="0" borderId="0" xfId="0" applyFont="1" applyAlignment="1" applyProtection="1">
      <alignment vertical="center"/>
      <protection locked="0"/>
    </xf>
    <xf numFmtId="0" fontId="33" fillId="0" borderId="0" xfId="0" applyFont="1" applyProtection="1">
      <protection locked="0"/>
    </xf>
    <xf numFmtId="10" fontId="28" fillId="0" borderId="0" xfId="2" applyNumberFormat="1" applyFont="1" applyProtection="1">
      <protection locked="0"/>
    </xf>
    <xf numFmtId="0" fontId="29" fillId="2" borderId="1" xfId="0" applyFont="1" applyFill="1" applyBorder="1" applyAlignment="1" applyProtection="1">
      <alignment horizontal="center" vertical="center"/>
      <protection locked="0"/>
    </xf>
    <xf numFmtId="3" fontId="8" fillId="6" borderId="1" xfId="2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3" fontId="8" fillId="6" borderId="1" xfId="1" applyNumberFormat="1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alignment horizontal="center" vertical="center" wrapText="1"/>
    </xf>
    <xf numFmtId="0" fontId="39" fillId="4" borderId="9" xfId="0" applyFont="1" applyFill="1" applyBorder="1" applyAlignment="1" applyProtection="1">
      <alignment horizontal="center" vertical="center" wrapText="1"/>
    </xf>
    <xf numFmtId="3" fontId="51" fillId="2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top"/>
    </xf>
    <xf numFmtId="0" fontId="28" fillId="0" borderId="0" xfId="0" applyFont="1" applyAlignment="1" applyProtection="1">
      <alignment vertical="top"/>
    </xf>
    <xf numFmtId="0" fontId="36" fillId="0" borderId="0" xfId="0" applyFont="1" applyAlignment="1" applyProtection="1">
      <alignment vertical="top"/>
    </xf>
    <xf numFmtId="0" fontId="31" fillId="0" borderId="0" xfId="0" applyFont="1" applyAlignment="1">
      <alignment vertical="center"/>
    </xf>
    <xf numFmtId="0" fontId="28" fillId="0" borderId="0" xfId="0" applyFont="1"/>
    <xf numFmtId="0" fontId="36" fillId="0" borderId="0" xfId="0" applyFont="1"/>
    <xf numFmtId="0" fontId="0" fillId="0" borderId="0" xfId="0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36" fillId="0" borderId="0" xfId="0" applyFont="1" applyAlignment="1">
      <alignment vertical="center"/>
    </xf>
    <xf numFmtId="10" fontId="28" fillId="0" borderId="0" xfId="2" applyNumberFormat="1" applyFont="1"/>
    <xf numFmtId="0" fontId="14" fillId="6" borderId="0" xfId="3" applyFont="1" applyFill="1" applyBorder="1" applyAlignment="1">
      <alignment horizontal="left" vertical="center"/>
    </xf>
    <xf numFmtId="0" fontId="0" fillId="0" borderId="0" xfId="0" applyBorder="1"/>
    <xf numFmtId="0" fontId="29" fillId="0" borderId="0" xfId="0" applyFont="1" applyBorder="1" applyAlignment="1">
      <alignment horizontal="right" vertical="center"/>
    </xf>
    <xf numFmtId="0" fontId="29" fillId="0" borderId="0" xfId="0" applyFont="1" applyBorder="1" applyAlignment="1">
      <alignment vertical="center"/>
    </xf>
    <xf numFmtId="0" fontId="19" fillId="0" borderId="0" xfId="0" applyFont="1" applyFill="1" applyBorder="1" applyAlignment="1" applyProtection="1">
      <alignment vertical="center"/>
    </xf>
    <xf numFmtId="3" fontId="19" fillId="0" borderId="0" xfId="0" applyNumberFormat="1" applyFont="1" applyFill="1" applyBorder="1" applyAlignment="1" applyProtection="1">
      <alignment vertical="center"/>
    </xf>
    <xf numFmtId="3" fontId="19" fillId="6" borderId="0" xfId="0" applyNumberFormat="1" applyFont="1" applyFill="1" applyBorder="1" applyAlignment="1" applyProtection="1">
      <alignment vertical="center"/>
    </xf>
    <xf numFmtId="9" fontId="9" fillId="0" borderId="0" xfId="2" applyFont="1" applyBorder="1" applyAlignment="1">
      <alignment horizontal="left" vertical="center" wrapText="1"/>
    </xf>
    <xf numFmtId="3" fontId="8" fillId="6" borderId="2" xfId="1" applyNumberFormat="1" applyFont="1" applyFill="1" applyBorder="1" applyAlignment="1" applyProtection="1">
      <alignment horizontal="center" vertical="center"/>
    </xf>
    <xf numFmtId="3" fontId="8" fillId="6" borderId="3" xfId="1" applyNumberFormat="1" applyFont="1" applyFill="1" applyBorder="1" applyAlignment="1" applyProtection="1">
      <alignment horizontal="center" vertical="center"/>
    </xf>
    <xf numFmtId="3" fontId="8" fillId="6" borderId="4" xfId="1" applyNumberFormat="1" applyFont="1" applyFill="1" applyBorder="1" applyAlignment="1" applyProtection="1">
      <alignment horizontal="center" vertical="center"/>
    </xf>
    <xf numFmtId="167" fontId="8" fillId="2" borderId="1" xfId="2" applyNumberFormat="1" applyFont="1" applyFill="1" applyBorder="1" applyAlignment="1" applyProtection="1">
      <alignment horizontal="center" vertical="center"/>
      <protection locked="0"/>
    </xf>
    <xf numFmtId="3" fontId="8" fillId="2" borderId="1" xfId="1" applyNumberFormat="1" applyFont="1" applyFill="1" applyBorder="1" applyAlignment="1" applyProtection="1">
      <alignment horizontal="center" vertical="center"/>
      <protection locked="0"/>
    </xf>
    <xf numFmtId="166" fontId="49" fillId="0" borderId="1" xfId="0" applyNumberFormat="1" applyFont="1" applyBorder="1" applyAlignment="1">
      <alignment horizontal="left" vertical="center" wrapText="1"/>
    </xf>
    <xf numFmtId="10" fontId="8" fillId="2" borderId="1" xfId="2" applyNumberFormat="1" applyFont="1" applyFill="1" applyBorder="1" applyAlignment="1" applyProtection="1">
      <alignment horizontal="center" vertical="center"/>
      <protection locked="0"/>
    </xf>
    <xf numFmtId="10" fontId="8" fillId="2" borderId="19" xfId="2" applyNumberFormat="1" applyFont="1" applyFill="1" applyBorder="1" applyAlignment="1" applyProtection="1">
      <alignment horizontal="center" vertical="center"/>
      <protection locked="0"/>
    </xf>
    <xf numFmtId="10" fontId="8" fillId="2" borderId="21" xfId="2" applyNumberFormat="1" applyFont="1" applyFill="1" applyBorder="1" applyAlignment="1" applyProtection="1">
      <alignment horizontal="center" vertical="center"/>
      <protection locked="0"/>
    </xf>
    <xf numFmtId="10" fontId="8" fillId="2" borderId="22" xfId="2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2" fillId="6" borderId="18" xfId="2" applyNumberFormat="1" applyFont="1" applyFill="1" applyBorder="1" applyAlignment="1">
      <alignment horizontal="center" vertical="center" wrapText="1"/>
    </xf>
    <xf numFmtId="0" fontId="32" fillId="6" borderId="1" xfId="2" applyNumberFormat="1" applyFont="1" applyFill="1" applyBorder="1" applyAlignment="1">
      <alignment horizontal="center" vertical="center" wrapText="1"/>
    </xf>
    <xf numFmtId="0" fontId="32" fillId="6" borderId="20" xfId="2" applyNumberFormat="1" applyFont="1" applyFill="1" applyBorder="1" applyAlignment="1">
      <alignment horizontal="center" vertical="center" wrapText="1"/>
    </xf>
    <xf numFmtId="0" fontId="32" fillId="6" borderId="21" xfId="2" applyNumberFormat="1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32" fillId="6" borderId="4" xfId="2" applyNumberFormat="1" applyFont="1" applyFill="1" applyBorder="1" applyAlignment="1">
      <alignment horizontal="center" vertical="center" wrapText="1"/>
    </xf>
    <xf numFmtId="0" fontId="32" fillId="6" borderId="24" xfId="2" applyNumberFormat="1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43" fillId="6" borderId="0" xfId="0" applyFont="1" applyFill="1" applyBorder="1" applyAlignment="1">
      <alignment horizontal="left" vertical="center" wrapText="1"/>
    </xf>
    <xf numFmtId="0" fontId="29" fillId="0" borderId="1" xfId="0" applyFont="1" applyBorder="1" applyAlignment="1" applyProtection="1">
      <alignment horizontal="center" vertical="center" wrapText="1"/>
    </xf>
    <xf numFmtId="9" fontId="8" fillId="2" borderId="1" xfId="2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center" vertical="center"/>
    </xf>
    <xf numFmtId="3" fontId="8" fillId="2" borderId="1" xfId="2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3" fontId="8" fillId="6" borderId="1" xfId="2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vertical="center"/>
    </xf>
    <xf numFmtId="0" fontId="31" fillId="0" borderId="1" xfId="0" applyFont="1" applyBorder="1" applyAlignment="1" applyProtection="1">
      <alignment horizontal="center" vertical="center" wrapText="1"/>
    </xf>
    <xf numFmtId="0" fontId="43" fillId="6" borderId="5" xfId="0" applyFont="1" applyFill="1" applyBorder="1" applyAlignment="1" applyProtection="1">
      <alignment horizontal="left" vertical="top" wrapText="1"/>
    </xf>
    <xf numFmtId="9" fontId="8" fillId="2" borderId="2" xfId="2" applyFont="1" applyFill="1" applyBorder="1" applyAlignment="1" applyProtection="1">
      <alignment horizontal="center" vertical="center"/>
      <protection locked="0"/>
    </xf>
    <xf numFmtId="9" fontId="8" fillId="2" borderId="4" xfId="2" applyFont="1" applyFill="1" applyBorder="1" applyAlignment="1" applyProtection="1">
      <alignment horizontal="center" vertical="center"/>
      <protection locked="0"/>
    </xf>
    <xf numFmtId="3" fontId="8" fillId="2" borderId="2" xfId="1" applyNumberFormat="1" applyFont="1" applyFill="1" applyBorder="1" applyAlignment="1" applyProtection="1">
      <alignment horizontal="center" vertical="center"/>
      <protection locked="0"/>
    </xf>
    <xf numFmtId="3" fontId="8" fillId="2" borderId="3" xfId="1" applyNumberFormat="1" applyFont="1" applyFill="1" applyBorder="1" applyAlignment="1" applyProtection="1">
      <alignment horizontal="center" vertical="center"/>
      <protection locked="0"/>
    </xf>
    <xf numFmtId="3" fontId="8" fillId="2" borderId="4" xfId="1" applyNumberFormat="1" applyFont="1" applyFill="1" applyBorder="1" applyAlignment="1" applyProtection="1">
      <alignment horizontal="center" vertical="center"/>
      <protection locked="0"/>
    </xf>
    <xf numFmtId="3" fontId="30" fillId="6" borderId="2" xfId="1" applyNumberFormat="1" applyFont="1" applyFill="1" applyBorder="1" applyAlignment="1" applyProtection="1">
      <alignment horizontal="center" vertical="center"/>
    </xf>
    <xf numFmtId="3" fontId="30" fillId="6" borderId="3" xfId="1" applyNumberFormat="1" applyFont="1" applyFill="1" applyBorder="1" applyAlignment="1" applyProtection="1">
      <alignment horizontal="center" vertical="center"/>
    </xf>
    <xf numFmtId="3" fontId="30" fillId="6" borderId="4" xfId="1" applyNumberFormat="1" applyFont="1" applyFill="1" applyBorder="1" applyAlignment="1" applyProtection="1">
      <alignment horizontal="center" vertical="center"/>
    </xf>
    <xf numFmtId="3" fontId="8" fillId="6" borderId="1" xfId="1" applyNumberFormat="1" applyFont="1" applyFill="1" applyBorder="1" applyAlignment="1" applyProtection="1">
      <alignment horizontal="center" vertical="center"/>
    </xf>
    <xf numFmtId="0" fontId="43" fillId="6" borderId="2" xfId="0" applyFont="1" applyFill="1" applyBorder="1" applyAlignment="1" applyProtection="1">
      <alignment vertical="center" wrapText="1"/>
    </xf>
    <xf numFmtId="0" fontId="43" fillId="6" borderId="4" xfId="0" applyFont="1" applyFill="1" applyBorder="1" applyAlignment="1" applyProtection="1">
      <alignment vertical="center" wrapText="1"/>
    </xf>
    <xf numFmtId="10" fontId="51" fillId="6" borderId="2" xfId="2" applyNumberFormat="1" applyFont="1" applyFill="1" applyBorder="1" applyAlignment="1" applyProtection="1">
      <alignment horizontal="center" vertical="center"/>
    </xf>
    <xf numFmtId="10" fontId="51" fillId="6" borderId="4" xfId="2" applyNumberFormat="1" applyFont="1" applyFill="1" applyBorder="1" applyAlignment="1" applyProtection="1">
      <alignment horizontal="center" vertical="center"/>
    </xf>
    <xf numFmtId="0" fontId="49" fillId="0" borderId="2" xfId="0" applyFont="1" applyBorder="1" applyAlignment="1" applyProtection="1">
      <alignment horizontal="center" vertical="center" wrapText="1"/>
    </xf>
    <xf numFmtId="0" fontId="49" fillId="0" borderId="3" xfId="0" applyFont="1" applyBorder="1" applyAlignment="1" applyProtection="1">
      <alignment horizontal="center" vertical="center" wrapText="1"/>
    </xf>
    <xf numFmtId="0" fontId="49" fillId="0" borderId="4" xfId="0" applyFont="1" applyBorder="1" applyAlignment="1" applyProtection="1">
      <alignment horizontal="center" vertical="center" wrapText="1"/>
    </xf>
    <xf numFmtId="3" fontId="51" fillId="6" borderId="2" xfId="1" applyNumberFormat="1" applyFont="1" applyFill="1" applyBorder="1" applyAlignment="1" applyProtection="1">
      <alignment horizontal="center" vertical="center"/>
    </xf>
    <xf numFmtId="3" fontId="51" fillId="6" borderId="3" xfId="1" applyNumberFormat="1" applyFont="1" applyFill="1" applyBorder="1" applyAlignment="1" applyProtection="1">
      <alignment horizontal="center" vertical="center"/>
    </xf>
    <xf numFmtId="3" fontId="51" fillId="6" borderId="4" xfId="1" applyNumberFormat="1" applyFont="1" applyFill="1" applyBorder="1" applyAlignment="1" applyProtection="1">
      <alignment horizontal="center" vertical="center"/>
    </xf>
    <xf numFmtId="0" fontId="49" fillId="0" borderId="14" xfId="0" applyFont="1" applyBorder="1" applyAlignment="1" applyProtection="1">
      <alignment horizontal="center" vertical="center" wrapText="1"/>
    </xf>
    <xf numFmtId="0" fontId="49" fillId="0" borderId="10" xfId="0" applyFont="1" applyBorder="1" applyAlignment="1" applyProtection="1">
      <alignment horizontal="center" vertical="center" wrapText="1"/>
    </xf>
    <xf numFmtId="0" fontId="49" fillId="0" borderId="13" xfId="0" applyFont="1" applyBorder="1" applyAlignment="1" applyProtection="1">
      <alignment horizontal="center" vertical="center" wrapText="1"/>
    </xf>
    <xf numFmtId="0" fontId="49" fillId="0" borderId="11" xfId="0" applyFont="1" applyBorder="1" applyAlignment="1" applyProtection="1">
      <alignment horizontal="center" vertical="center" wrapText="1"/>
    </xf>
    <xf numFmtId="9" fontId="9" fillId="0" borderId="0" xfId="2" applyFont="1" applyBorder="1" applyAlignment="1" applyProtection="1">
      <alignment vertical="center" wrapText="1"/>
    </xf>
    <xf numFmtId="9" fontId="9" fillId="0" borderId="8" xfId="2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9" fontId="9" fillId="0" borderId="0" xfId="2" applyFont="1" applyBorder="1" applyAlignment="1" applyProtection="1">
      <alignment horizontal="left" vertical="center" wrapText="1"/>
    </xf>
    <xf numFmtId="9" fontId="9" fillId="0" borderId="8" xfId="2" applyFont="1" applyBorder="1" applyAlignment="1" applyProtection="1">
      <alignment horizontal="left" vertical="center" wrapText="1"/>
    </xf>
    <xf numFmtId="9" fontId="50" fillId="0" borderId="0" xfId="2" applyFont="1" applyBorder="1" applyAlignment="1" applyProtection="1">
      <alignment vertical="center" wrapText="1"/>
    </xf>
    <xf numFmtId="9" fontId="50" fillId="0" borderId="8" xfId="2" applyFont="1" applyBorder="1" applyAlignment="1" applyProtection="1">
      <alignment vertical="center" wrapText="1"/>
    </xf>
    <xf numFmtId="0" fontId="53" fillId="6" borderId="5" xfId="0" applyFont="1" applyFill="1" applyBorder="1" applyAlignment="1" applyProtection="1">
      <alignment horizontal="left" vertical="center" wrapText="1"/>
    </xf>
    <xf numFmtId="0" fontId="43" fillId="6" borderId="5" xfId="0" applyFont="1" applyFill="1" applyBorder="1" applyAlignment="1" applyProtection="1">
      <alignment horizontal="left" vertical="center" wrapText="1"/>
    </xf>
    <xf numFmtId="9" fontId="9" fillId="6" borderId="0" xfId="2" applyFont="1" applyFill="1" applyBorder="1" applyAlignment="1" applyProtection="1">
      <alignment horizontal="left" vertical="center" wrapText="1"/>
    </xf>
    <xf numFmtId="9" fontId="9" fillId="6" borderId="8" xfId="2" applyFont="1" applyFill="1" applyBorder="1" applyAlignment="1" applyProtection="1">
      <alignment horizontal="left" vertical="center" wrapText="1"/>
    </xf>
    <xf numFmtId="166" fontId="49" fillId="6" borderId="1" xfId="0" applyNumberFormat="1" applyFont="1" applyFill="1" applyBorder="1" applyAlignment="1" applyProtection="1">
      <alignment horizontal="center" vertical="center" wrapText="1"/>
    </xf>
    <xf numFmtId="0" fontId="31" fillId="0" borderId="1" xfId="0" applyFont="1" applyBorder="1" applyAlignment="1" applyProtection="1">
      <alignment horizontal="center" vertical="center"/>
    </xf>
    <xf numFmtId="3" fontId="30" fillId="6" borderId="1" xfId="1" applyNumberFormat="1" applyFont="1" applyFill="1" applyBorder="1" applyAlignment="1" applyProtection="1">
      <alignment horizontal="center" vertical="center"/>
    </xf>
    <xf numFmtId="9" fontId="50" fillId="2" borderId="1" xfId="2" applyFont="1" applyFill="1" applyBorder="1" applyAlignment="1" applyProtection="1">
      <alignment vertical="center" wrapText="1"/>
      <protection locked="0"/>
    </xf>
    <xf numFmtId="3" fontId="51" fillId="2" borderId="1" xfId="1" applyNumberFormat="1" applyFont="1" applyFill="1" applyBorder="1" applyAlignment="1" applyProtection="1">
      <alignment horizontal="center" vertical="center"/>
      <protection locked="0"/>
    </xf>
    <xf numFmtId="10" fontId="51" fillId="2" borderId="1" xfId="2" applyNumberFormat="1" applyFont="1" applyFill="1" applyBorder="1" applyAlignment="1" applyProtection="1">
      <alignment horizontal="center" vertical="center"/>
      <protection locked="0"/>
    </xf>
    <xf numFmtId="0" fontId="45" fillId="2" borderId="0" xfId="0" applyFont="1" applyFill="1" applyAlignment="1" applyProtection="1">
      <alignment horizontal="center"/>
    </xf>
    <xf numFmtId="0" fontId="6" fillId="0" borderId="0" xfId="0" applyFont="1" applyAlignment="1" applyProtection="1">
      <alignment horizontal="center" vertical="center" wrapText="1"/>
    </xf>
    <xf numFmtId="9" fontId="50" fillId="2" borderId="12" xfId="2" applyFont="1" applyFill="1" applyBorder="1" applyAlignment="1" applyProtection="1">
      <alignment vertical="center" wrapText="1"/>
      <protection locked="0"/>
    </xf>
    <xf numFmtId="0" fontId="29" fillId="0" borderId="0" xfId="0" applyFont="1" applyAlignment="1" applyProtection="1">
      <alignment horizontal="left" vertical="center" wrapText="1"/>
    </xf>
    <xf numFmtId="0" fontId="29" fillId="0" borderId="8" xfId="0" applyFont="1" applyBorder="1" applyAlignment="1" applyProtection="1">
      <alignment horizontal="left" vertical="center" wrapText="1"/>
    </xf>
    <xf numFmtId="0" fontId="49" fillId="0" borderId="1" xfId="0" applyFont="1" applyBorder="1" applyAlignment="1" applyProtection="1">
      <alignment horizontal="center" vertical="center" wrapText="1"/>
    </xf>
    <xf numFmtId="10" fontId="51" fillId="6" borderId="12" xfId="2" applyNumberFormat="1" applyFont="1" applyFill="1" applyBorder="1" applyAlignment="1" applyProtection="1">
      <alignment horizontal="center" vertical="center"/>
    </xf>
    <xf numFmtId="3" fontId="51" fillId="2" borderId="12" xfId="1" applyNumberFormat="1" applyFont="1" applyFill="1" applyBorder="1" applyAlignment="1" applyProtection="1">
      <alignment horizontal="center" vertical="center"/>
      <protection locked="0"/>
    </xf>
    <xf numFmtId="0" fontId="29" fillId="2" borderId="2" xfId="0" applyFont="1" applyFill="1" applyBorder="1" applyAlignment="1" applyProtection="1">
      <alignment horizontal="center" vertical="center"/>
      <protection locked="0"/>
    </xf>
    <xf numFmtId="0" fontId="29" fillId="2" borderId="4" xfId="0" applyFont="1" applyFill="1" applyBorder="1" applyAlignment="1" applyProtection="1">
      <alignment horizontal="center" vertical="center"/>
      <protection locked="0"/>
    </xf>
    <xf numFmtId="166" fontId="8" fillId="2" borderId="2" xfId="2" applyNumberFormat="1" applyFont="1" applyFill="1" applyBorder="1" applyAlignment="1" applyProtection="1">
      <alignment horizontal="center" vertical="center"/>
      <protection locked="0"/>
    </xf>
    <xf numFmtId="166" fontId="8" fillId="2" borderId="4" xfId="2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 applyBorder="1" applyAlignment="1" applyProtection="1">
      <alignment horizontal="left" vertical="center"/>
    </xf>
    <xf numFmtId="0" fontId="32" fillId="0" borderId="8" xfId="0" applyFont="1" applyBorder="1" applyAlignment="1" applyProtection="1">
      <alignment horizontal="left" vertical="center"/>
    </xf>
    <xf numFmtId="0" fontId="0" fillId="0" borderId="2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9" fillId="6" borderId="2" xfId="2" applyNumberFormat="1" applyFont="1" applyFill="1" applyBorder="1" applyAlignment="1" applyProtection="1">
      <alignment horizontal="center" vertical="center" wrapText="1"/>
    </xf>
    <xf numFmtId="0" fontId="9" fillId="6" borderId="4" xfId="2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166" fontId="49" fillId="0" borderId="2" xfId="0" applyNumberFormat="1" applyFont="1" applyBorder="1" applyAlignment="1" applyProtection="1">
      <alignment horizontal="center" vertical="center" wrapText="1"/>
    </xf>
    <xf numFmtId="166" fontId="49" fillId="0" borderId="3" xfId="0" applyNumberFormat="1" applyFont="1" applyBorder="1" applyAlignment="1" applyProtection="1">
      <alignment horizontal="center" vertical="center" wrapText="1"/>
    </xf>
    <xf numFmtId="166" fontId="49" fillId="0" borderId="4" xfId="0" applyNumberFormat="1" applyFont="1" applyBorder="1" applyAlignment="1" applyProtection="1">
      <alignment horizontal="center" vertical="center" wrapText="1"/>
    </xf>
    <xf numFmtId="9" fontId="9" fillId="6" borderId="2" xfId="2" applyFont="1" applyFill="1" applyBorder="1" applyAlignment="1" applyProtection="1">
      <alignment vertical="center" wrapText="1"/>
    </xf>
    <xf numFmtId="9" fontId="9" fillId="6" borderId="4" xfId="2" applyFont="1" applyFill="1" applyBorder="1" applyAlignment="1" applyProtection="1">
      <alignment vertical="center" wrapText="1"/>
    </xf>
    <xf numFmtId="167" fontId="8" fillId="6" borderId="1" xfId="2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3" fontId="7" fillId="0" borderId="1" xfId="1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9" fontId="8" fillId="0" borderId="0" xfId="2" applyFont="1" applyBorder="1" applyAlignment="1" applyProtection="1">
      <alignment horizontal="center" vertical="center" wrapText="1"/>
    </xf>
    <xf numFmtId="167" fontId="30" fillId="6" borderId="0" xfId="2" applyNumberFormat="1" applyFont="1" applyFill="1" applyBorder="1" applyAlignment="1" applyProtection="1">
      <alignment horizontal="center" vertical="center"/>
    </xf>
    <xf numFmtId="3" fontId="7" fillId="0" borderId="2" xfId="1" applyNumberFormat="1" applyFont="1" applyBorder="1" applyAlignment="1" applyProtection="1">
      <alignment horizontal="center" vertical="center"/>
    </xf>
    <xf numFmtId="3" fontId="7" fillId="0" borderId="4" xfId="1" applyNumberFormat="1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/>
    </xf>
    <xf numFmtId="0" fontId="4" fillId="0" borderId="3" xfId="0" applyFont="1" applyBorder="1" applyAlignment="1" applyProtection="1">
      <alignment horizont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6" borderId="2" xfId="0" applyFont="1" applyFill="1" applyBorder="1" applyAlignment="1" applyProtection="1">
      <alignment horizontal="center" vertical="center" wrapText="1"/>
    </xf>
    <xf numFmtId="0" fontId="4" fillId="6" borderId="4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29" fillId="0" borderId="0" xfId="0" applyFont="1" applyAlignment="1" applyProtection="1">
      <alignment horizontal="left" vertical="center"/>
    </xf>
    <xf numFmtId="0" fontId="0" fillId="6" borderId="3" xfId="0" applyFill="1" applyBorder="1" applyAlignment="1" applyProtection="1">
      <alignment horizontal="left" vertical="center" wrapText="1"/>
    </xf>
    <xf numFmtId="0" fontId="44" fillId="2" borderId="0" xfId="0" applyFont="1" applyFill="1" applyAlignment="1" applyProtection="1">
      <alignment horizontal="center"/>
    </xf>
    <xf numFmtId="0" fontId="39" fillId="4" borderId="0" xfId="0" applyFont="1" applyFill="1" applyBorder="1" applyAlignment="1" applyProtection="1">
      <alignment horizontal="center" vertical="center" wrapText="1"/>
    </xf>
    <xf numFmtId="0" fontId="39" fillId="4" borderId="9" xfId="0" applyFont="1" applyFill="1" applyBorder="1" applyAlignment="1" applyProtection="1">
      <alignment horizontal="center" vertical="center" wrapText="1"/>
    </xf>
    <xf numFmtId="0" fontId="35" fillId="6" borderId="2" xfId="3" applyFont="1" applyFill="1" applyBorder="1" applyAlignment="1" applyProtection="1">
      <alignment horizontal="center" vertical="center" wrapText="1"/>
    </xf>
    <xf numFmtId="0" fontId="35" fillId="6" borderId="3" xfId="3" applyFont="1" applyFill="1" applyBorder="1" applyAlignment="1" applyProtection="1">
      <alignment horizontal="center" vertical="center" wrapText="1"/>
    </xf>
    <xf numFmtId="0" fontId="35" fillId="6" borderId="4" xfId="3" applyFont="1" applyFill="1" applyBorder="1" applyAlignment="1" applyProtection="1">
      <alignment horizontal="center" vertical="center" wrapText="1"/>
    </xf>
    <xf numFmtId="0" fontId="35" fillId="0" borderId="2" xfId="3" applyFont="1" applyBorder="1" applyAlignment="1" applyProtection="1">
      <alignment horizontal="center" vertical="center" wrapText="1"/>
    </xf>
    <xf numFmtId="0" fontId="35" fillId="0" borderId="3" xfId="3" applyFont="1" applyBorder="1" applyAlignment="1" applyProtection="1">
      <alignment horizontal="center" vertical="center" wrapText="1"/>
    </xf>
    <xf numFmtId="0" fontId="35" fillId="0" borderId="4" xfId="3" applyFont="1" applyBorder="1" applyAlignment="1" applyProtection="1">
      <alignment horizontal="center" vertical="center" wrapText="1"/>
    </xf>
    <xf numFmtId="0" fontId="35" fillId="0" borderId="1" xfId="3" applyFont="1" applyBorder="1" applyAlignment="1" applyProtection="1">
      <alignment horizontal="center" vertical="center" wrapText="1"/>
    </xf>
  </cellXfs>
  <cellStyles count="6">
    <cellStyle name="Обычный" xfId="0" builtinId="0"/>
    <cellStyle name="Обычный_7.1. ТЭО (RH)" xfId="3"/>
    <cellStyle name="Процентный" xfId="2" builtinId="5"/>
    <cellStyle name="Процентный 2" xfId="4"/>
    <cellStyle name="Финансовый" xfId="1" builtinId="3"/>
    <cellStyle name="Финансовый 2" xfId="5"/>
  </cellStyles>
  <dxfs count="2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23.jpeg"/><Relationship Id="rId18" Type="http://schemas.openxmlformats.org/officeDocument/2006/relationships/image" Target="../media/image17.png"/><Relationship Id="rId3" Type="http://schemas.openxmlformats.org/officeDocument/2006/relationships/image" Target="../media/image2.png"/><Relationship Id="rId21" Type="http://schemas.openxmlformats.org/officeDocument/2006/relationships/image" Target="../media/image27.jpeg"/><Relationship Id="rId7" Type="http://schemas.openxmlformats.org/officeDocument/2006/relationships/image" Target="../media/image6.png"/><Relationship Id="rId12" Type="http://schemas.openxmlformats.org/officeDocument/2006/relationships/image" Target="../media/image11.png"/><Relationship Id="rId17" Type="http://schemas.openxmlformats.org/officeDocument/2006/relationships/image" Target="../media/image26.png"/><Relationship Id="rId2" Type="http://schemas.openxmlformats.org/officeDocument/2006/relationships/image" Target="../media/image1.png"/><Relationship Id="rId16" Type="http://schemas.openxmlformats.org/officeDocument/2006/relationships/image" Target="../media/image16.png"/><Relationship Id="rId20" Type="http://schemas.openxmlformats.org/officeDocument/2006/relationships/image" Target="../media/image18.png"/><Relationship Id="rId1" Type="http://schemas.openxmlformats.org/officeDocument/2006/relationships/image" Target="../media/image21.png"/><Relationship Id="rId6" Type="http://schemas.openxmlformats.org/officeDocument/2006/relationships/image" Target="../media/image5.png"/><Relationship Id="rId11" Type="http://schemas.openxmlformats.org/officeDocument/2006/relationships/image" Target="../media/image22.png"/><Relationship Id="rId5" Type="http://schemas.openxmlformats.org/officeDocument/2006/relationships/image" Target="../media/image4.png"/><Relationship Id="rId15" Type="http://schemas.openxmlformats.org/officeDocument/2006/relationships/image" Target="../media/image25.png"/><Relationship Id="rId10" Type="http://schemas.openxmlformats.org/officeDocument/2006/relationships/image" Target="../media/image9.png"/><Relationship Id="rId19" Type="http://schemas.openxmlformats.org/officeDocument/2006/relationships/image" Target="../media/image19.png"/><Relationship Id="rId4" Type="http://schemas.openxmlformats.org/officeDocument/2006/relationships/image" Target="../media/image3.png"/><Relationship Id="rId9" Type="http://schemas.openxmlformats.org/officeDocument/2006/relationships/image" Target="../media/image8.png"/><Relationship Id="rId14" Type="http://schemas.openxmlformats.org/officeDocument/2006/relationships/image" Target="../media/image2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49875</xdr:colOff>
      <xdr:row>80</xdr:row>
      <xdr:rowOff>21300</xdr:rowOff>
    </xdr:from>
    <xdr:to>
      <xdr:col>0</xdr:col>
      <xdr:colOff>553875</xdr:colOff>
      <xdr:row>80</xdr:row>
      <xdr:rowOff>525300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9875" y="26186475"/>
          <a:ext cx="504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63</xdr:row>
      <xdr:rowOff>9525</xdr:rowOff>
    </xdr:from>
    <xdr:to>
      <xdr:col>0</xdr:col>
      <xdr:colOff>551625</xdr:colOff>
      <xdr:row>63</xdr:row>
      <xdr:rowOff>513525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625" y="16535400"/>
          <a:ext cx="504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42867</xdr:colOff>
      <xdr:row>49</xdr:row>
      <xdr:rowOff>28578</xdr:rowOff>
    </xdr:from>
    <xdr:to>
      <xdr:col>0</xdr:col>
      <xdr:colOff>546867</xdr:colOff>
      <xdr:row>49</xdr:row>
      <xdr:rowOff>532578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2867" y="13158791"/>
          <a:ext cx="504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47622</xdr:colOff>
      <xdr:row>47</xdr:row>
      <xdr:rowOff>12814</xdr:rowOff>
    </xdr:from>
    <xdr:to>
      <xdr:col>0</xdr:col>
      <xdr:colOff>551622</xdr:colOff>
      <xdr:row>47</xdr:row>
      <xdr:rowOff>516815</xdr:rowOff>
    </xdr:to>
    <xdr:pic>
      <xdr:nvPicPr>
        <xdr:cNvPr id="31" name="Рисунок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622" y="12133377"/>
          <a:ext cx="504000" cy="504001"/>
        </a:xfrm>
        <a:prstGeom prst="rect">
          <a:avLst/>
        </a:prstGeom>
      </xdr:spPr>
    </xdr:pic>
    <xdr:clientData/>
  </xdr:twoCellAnchor>
  <xdr:twoCellAnchor editAs="oneCell">
    <xdr:from>
      <xdr:col>0</xdr:col>
      <xdr:colOff>50426</xdr:colOff>
      <xdr:row>48</xdr:row>
      <xdr:rowOff>23815</xdr:rowOff>
    </xdr:from>
    <xdr:to>
      <xdr:col>0</xdr:col>
      <xdr:colOff>554426</xdr:colOff>
      <xdr:row>48</xdr:row>
      <xdr:rowOff>523331</xdr:rowOff>
    </xdr:to>
    <xdr:pic>
      <xdr:nvPicPr>
        <xdr:cNvPr id="33" name="Рисунок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0426" y="12649203"/>
          <a:ext cx="504000" cy="499516"/>
        </a:xfrm>
        <a:prstGeom prst="rect">
          <a:avLst/>
        </a:prstGeom>
      </xdr:spPr>
    </xdr:pic>
    <xdr:clientData/>
  </xdr:twoCellAnchor>
  <xdr:twoCellAnchor editAs="oneCell">
    <xdr:from>
      <xdr:col>0</xdr:col>
      <xdr:colOff>47624</xdr:colOff>
      <xdr:row>39</xdr:row>
      <xdr:rowOff>0</xdr:rowOff>
    </xdr:from>
    <xdr:to>
      <xdr:col>0</xdr:col>
      <xdr:colOff>551624</xdr:colOff>
      <xdr:row>39</xdr:row>
      <xdr:rowOff>504000</xdr:rowOff>
    </xdr:to>
    <xdr:pic>
      <xdr:nvPicPr>
        <xdr:cNvPr id="43" name="Рисунок 42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624" y="8353425"/>
          <a:ext cx="504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47623</xdr:colOff>
      <xdr:row>46</xdr:row>
      <xdr:rowOff>90</xdr:rowOff>
    </xdr:from>
    <xdr:to>
      <xdr:col>0</xdr:col>
      <xdr:colOff>551623</xdr:colOff>
      <xdr:row>46</xdr:row>
      <xdr:rowOff>504091</xdr:rowOff>
    </xdr:to>
    <xdr:pic>
      <xdr:nvPicPr>
        <xdr:cNvPr id="44" name="Рисунок 43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623" y="11615828"/>
          <a:ext cx="504000" cy="504001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71</xdr:row>
      <xdr:rowOff>19050</xdr:rowOff>
    </xdr:from>
    <xdr:to>
      <xdr:col>0</xdr:col>
      <xdr:colOff>551625</xdr:colOff>
      <xdr:row>71</xdr:row>
      <xdr:rowOff>523050</xdr:rowOff>
    </xdr:to>
    <xdr:pic>
      <xdr:nvPicPr>
        <xdr:cNvPr id="50" name="Рисунок 49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625" y="22983825"/>
          <a:ext cx="504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44824</xdr:colOff>
      <xdr:row>67</xdr:row>
      <xdr:rowOff>22412</xdr:rowOff>
    </xdr:from>
    <xdr:to>
      <xdr:col>0</xdr:col>
      <xdr:colOff>548824</xdr:colOff>
      <xdr:row>67</xdr:row>
      <xdr:rowOff>526412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44824" y="26176941"/>
          <a:ext cx="504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56030</xdr:colOff>
      <xdr:row>44</xdr:row>
      <xdr:rowOff>501742</xdr:rowOff>
    </xdr:from>
    <xdr:to>
      <xdr:col>1</xdr:col>
      <xdr:colOff>4405</xdr:colOff>
      <xdr:row>45</xdr:row>
      <xdr:rowOff>472903</xdr:rowOff>
    </xdr:to>
    <xdr:pic>
      <xdr:nvPicPr>
        <xdr:cNvPr id="29" name="Рисунок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56030" y="11107830"/>
          <a:ext cx="504000" cy="504561"/>
        </a:xfrm>
        <a:prstGeom prst="rect">
          <a:avLst/>
        </a:prstGeom>
      </xdr:spPr>
    </xdr:pic>
    <xdr:clientData/>
  </xdr:twoCellAnchor>
  <xdr:twoCellAnchor editAs="oneCell">
    <xdr:from>
      <xdr:col>0</xdr:col>
      <xdr:colOff>47630</xdr:colOff>
      <xdr:row>66</xdr:row>
      <xdr:rowOff>0</xdr:rowOff>
    </xdr:from>
    <xdr:to>
      <xdr:col>0</xdr:col>
      <xdr:colOff>551630</xdr:colOff>
      <xdr:row>66</xdr:row>
      <xdr:rowOff>506721</xdr:rowOff>
    </xdr:to>
    <xdr:pic>
      <xdr:nvPicPr>
        <xdr:cNvPr id="28" name="Рисунок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630" y="18030825"/>
          <a:ext cx="504000" cy="506721"/>
        </a:xfrm>
        <a:prstGeom prst="rect">
          <a:avLst/>
        </a:prstGeom>
      </xdr:spPr>
    </xdr:pic>
    <xdr:clientData/>
  </xdr:twoCellAnchor>
  <xdr:oneCellAnchor>
    <xdr:from>
      <xdr:col>0</xdr:col>
      <xdr:colOff>52393</xdr:colOff>
      <xdr:row>69</xdr:row>
      <xdr:rowOff>9526</xdr:rowOff>
    </xdr:from>
    <xdr:ext cx="504000" cy="504000"/>
    <xdr:pic>
      <xdr:nvPicPr>
        <xdr:cNvPr id="40" name="Рисунок 3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52393" y="25298401"/>
          <a:ext cx="504000" cy="504000"/>
        </a:xfrm>
        <a:prstGeom prst="rect">
          <a:avLst/>
        </a:prstGeom>
      </xdr:spPr>
    </xdr:pic>
    <xdr:clientData/>
  </xdr:oneCellAnchor>
  <xdr:twoCellAnchor editAs="oneCell">
    <xdr:from>
      <xdr:col>0</xdr:col>
      <xdr:colOff>47630</xdr:colOff>
      <xdr:row>65</xdr:row>
      <xdr:rowOff>4763</xdr:rowOff>
    </xdr:from>
    <xdr:to>
      <xdr:col>0</xdr:col>
      <xdr:colOff>551630</xdr:colOff>
      <xdr:row>65</xdr:row>
      <xdr:rowOff>511485</xdr:rowOff>
    </xdr:to>
    <xdr:pic>
      <xdr:nvPicPr>
        <xdr:cNvPr id="37" name="Рисунок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47630" y="25241251"/>
          <a:ext cx="504000" cy="506722"/>
        </a:xfrm>
        <a:prstGeom prst="rect">
          <a:avLst/>
        </a:prstGeom>
      </xdr:spPr>
    </xdr:pic>
    <xdr:clientData/>
  </xdr:twoCellAnchor>
  <xdr:twoCellAnchor editAs="oneCell">
    <xdr:from>
      <xdr:col>0</xdr:col>
      <xdr:colOff>52393</xdr:colOff>
      <xdr:row>70</xdr:row>
      <xdr:rowOff>0</xdr:rowOff>
    </xdr:from>
    <xdr:to>
      <xdr:col>1</xdr:col>
      <xdr:colOff>768</xdr:colOff>
      <xdr:row>70</xdr:row>
      <xdr:rowOff>504561</xdr:rowOff>
    </xdr:to>
    <xdr:pic>
      <xdr:nvPicPr>
        <xdr:cNvPr id="41" name="Рисунок 40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52393" y="21383625"/>
          <a:ext cx="504000" cy="504561"/>
        </a:xfrm>
        <a:prstGeom prst="rect">
          <a:avLst/>
        </a:prstGeom>
      </xdr:spPr>
    </xdr:pic>
    <xdr:clientData/>
  </xdr:twoCellAnchor>
  <xdr:oneCellAnchor>
    <xdr:from>
      <xdr:col>0</xdr:col>
      <xdr:colOff>52393</xdr:colOff>
      <xdr:row>40</xdr:row>
      <xdr:rowOff>21775</xdr:rowOff>
    </xdr:from>
    <xdr:ext cx="504000" cy="504000"/>
    <xdr:pic>
      <xdr:nvPicPr>
        <xdr:cNvPr id="34" name="Рисунок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52393" y="25331061"/>
          <a:ext cx="504000" cy="504000"/>
        </a:xfrm>
        <a:prstGeom prst="rect">
          <a:avLst/>
        </a:prstGeom>
      </xdr:spPr>
    </xdr:pic>
    <xdr:clientData/>
  </xdr:oneCellAnchor>
  <xdr:oneCellAnchor>
    <xdr:from>
      <xdr:col>0</xdr:col>
      <xdr:colOff>38104</xdr:colOff>
      <xdr:row>44</xdr:row>
      <xdr:rowOff>0</xdr:rowOff>
    </xdr:from>
    <xdr:ext cx="517622" cy="506721"/>
    <xdr:pic>
      <xdr:nvPicPr>
        <xdr:cNvPr id="39" name="Рисунок 2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4" y="12906374"/>
          <a:ext cx="517622" cy="506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38101</xdr:colOff>
      <xdr:row>75</xdr:row>
      <xdr:rowOff>0</xdr:rowOff>
    </xdr:from>
    <xdr:ext cx="504000" cy="504000"/>
    <xdr:pic>
      <xdr:nvPicPr>
        <xdr:cNvPr id="35" name="Рисунок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8101" y="41376600"/>
          <a:ext cx="504000" cy="504000"/>
        </a:xfrm>
        <a:prstGeom prst="rect">
          <a:avLst/>
        </a:prstGeom>
      </xdr:spPr>
    </xdr:pic>
    <xdr:clientData/>
  </xdr:oneCellAnchor>
  <xdr:twoCellAnchor editAs="oneCell">
    <xdr:from>
      <xdr:col>0</xdr:col>
      <xdr:colOff>54430</xdr:colOff>
      <xdr:row>42</xdr:row>
      <xdr:rowOff>0</xdr:rowOff>
    </xdr:from>
    <xdr:to>
      <xdr:col>1</xdr:col>
      <xdr:colOff>2805</xdr:colOff>
      <xdr:row>42</xdr:row>
      <xdr:rowOff>507174</xdr:rowOff>
    </xdr:to>
    <xdr:pic>
      <xdr:nvPicPr>
        <xdr:cNvPr id="46" name="Рисунок 4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4430" y="10009414"/>
          <a:ext cx="504000" cy="507174"/>
        </a:xfrm>
        <a:prstGeom prst="rect">
          <a:avLst/>
        </a:prstGeom>
      </xdr:spPr>
    </xdr:pic>
    <xdr:clientData/>
  </xdr:twoCellAnchor>
  <xdr:twoCellAnchor editAs="oneCell">
    <xdr:from>
      <xdr:col>0</xdr:col>
      <xdr:colOff>43544</xdr:colOff>
      <xdr:row>73</xdr:row>
      <xdr:rowOff>0</xdr:rowOff>
    </xdr:from>
    <xdr:to>
      <xdr:col>0</xdr:col>
      <xdr:colOff>548554</xdr:colOff>
      <xdr:row>73</xdr:row>
      <xdr:rowOff>504000</xdr:rowOff>
    </xdr:to>
    <xdr:pic>
      <xdr:nvPicPr>
        <xdr:cNvPr id="47" name="Рисунок 4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43544" y="34888714"/>
          <a:ext cx="50501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32658</xdr:colOff>
      <xdr:row>68</xdr:row>
      <xdr:rowOff>0</xdr:rowOff>
    </xdr:from>
    <xdr:to>
      <xdr:col>0</xdr:col>
      <xdr:colOff>536658</xdr:colOff>
      <xdr:row>68</xdr:row>
      <xdr:rowOff>506722</xdr:rowOff>
    </xdr:to>
    <xdr:pic>
      <xdr:nvPicPr>
        <xdr:cNvPr id="49" name="Рисунок 48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658" y="28264757"/>
          <a:ext cx="504000" cy="506722"/>
        </a:xfrm>
        <a:prstGeom prst="rect">
          <a:avLst/>
        </a:prstGeom>
      </xdr:spPr>
    </xdr:pic>
    <xdr:clientData/>
  </xdr:twoCellAnchor>
  <xdr:oneCellAnchor>
    <xdr:from>
      <xdr:col>0</xdr:col>
      <xdr:colOff>48987</xdr:colOff>
      <xdr:row>41</xdr:row>
      <xdr:rowOff>0</xdr:rowOff>
    </xdr:from>
    <xdr:ext cx="504000" cy="503439"/>
    <xdr:pic>
      <xdr:nvPicPr>
        <xdr:cNvPr id="32" name="Рисунок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48987" y="12213771"/>
          <a:ext cx="504000" cy="503439"/>
        </a:xfrm>
        <a:prstGeom prst="rect">
          <a:avLst/>
        </a:prstGeom>
      </xdr:spPr>
    </xdr:pic>
    <xdr:clientData/>
  </xdr:oneCellAnchor>
  <xdr:oneCellAnchor>
    <xdr:from>
      <xdr:col>0</xdr:col>
      <xdr:colOff>50426</xdr:colOff>
      <xdr:row>43</xdr:row>
      <xdr:rowOff>23815</xdr:rowOff>
    </xdr:from>
    <xdr:ext cx="504000" cy="499516"/>
    <xdr:pic>
      <xdr:nvPicPr>
        <xdr:cNvPr id="36" name="Рисунок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0426" y="16504786"/>
          <a:ext cx="504000" cy="499516"/>
        </a:xfrm>
        <a:prstGeom prst="rect">
          <a:avLst/>
        </a:prstGeom>
      </xdr:spPr>
    </xdr:pic>
    <xdr:clientData/>
  </xdr:oneCellAnchor>
  <xdr:twoCellAnchor editAs="oneCell">
    <xdr:from>
      <xdr:col>0</xdr:col>
      <xdr:colOff>27215</xdr:colOff>
      <xdr:row>64</xdr:row>
      <xdr:rowOff>0</xdr:rowOff>
    </xdr:from>
    <xdr:to>
      <xdr:col>0</xdr:col>
      <xdr:colOff>531215</xdr:colOff>
      <xdr:row>64</xdr:row>
      <xdr:rowOff>504001</xdr:rowOff>
    </xdr:to>
    <xdr:pic>
      <xdr:nvPicPr>
        <xdr:cNvPr id="51" name="Рисунок 50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7215" y="29293457"/>
          <a:ext cx="504000" cy="504001"/>
        </a:xfrm>
        <a:prstGeom prst="rect">
          <a:avLst/>
        </a:prstGeom>
      </xdr:spPr>
    </xdr:pic>
    <xdr:clientData/>
  </xdr:twoCellAnchor>
  <xdr:oneCellAnchor>
    <xdr:from>
      <xdr:col>0</xdr:col>
      <xdr:colOff>27215</xdr:colOff>
      <xdr:row>74</xdr:row>
      <xdr:rowOff>0</xdr:rowOff>
    </xdr:from>
    <xdr:ext cx="504000" cy="504001"/>
    <xdr:pic>
      <xdr:nvPicPr>
        <xdr:cNvPr id="52" name="Рисунок 5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7215" y="24394886"/>
          <a:ext cx="504000" cy="504001"/>
        </a:xfrm>
        <a:prstGeom prst="rect">
          <a:avLst/>
        </a:prstGeom>
      </xdr:spPr>
    </xdr:pic>
    <xdr:clientData/>
  </xdr:oneCellAnchor>
  <xdr:twoCellAnchor editAs="oneCell">
    <xdr:from>
      <xdr:col>0</xdr:col>
      <xdr:colOff>43544</xdr:colOff>
      <xdr:row>72</xdr:row>
      <xdr:rowOff>5443</xdr:rowOff>
    </xdr:from>
    <xdr:to>
      <xdr:col>0</xdr:col>
      <xdr:colOff>547544</xdr:colOff>
      <xdr:row>72</xdr:row>
      <xdr:rowOff>509443</xdr:rowOff>
    </xdr:to>
    <xdr:pic>
      <xdr:nvPicPr>
        <xdr:cNvPr id="45" name="Рисунок 44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544" y="36026272"/>
          <a:ext cx="504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52274</xdr:colOff>
      <xdr:row>77</xdr:row>
      <xdr:rowOff>23700</xdr:rowOff>
    </xdr:from>
    <xdr:to>
      <xdr:col>1</xdr:col>
      <xdr:colOff>8074</xdr:colOff>
      <xdr:row>77</xdr:row>
      <xdr:rowOff>515580</xdr:rowOff>
    </xdr:to>
    <xdr:pic>
      <xdr:nvPicPr>
        <xdr:cNvPr id="30" name="Рисунок 29">
          <a:extLst>
            <a:ext uri="{FF2B5EF4-FFF2-40B4-BE49-F238E27FC236}">
              <a16:creationId xmlns:a16="http://schemas.microsoft.com/office/drawing/2014/main" xmlns="" id="{0B2AB76A-C489-42C3-AD10-FC4EA6C7D7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2274" y="58598640"/>
          <a:ext cx="540000" cy="491880"/>
        </a:xfrm>
        <a:prstGeom prst="rect">
          <a:avLst/>
        </a:prstGeom>
      </xdr:spPr>
    </xdr:pic>
    <xdr:clientData/>
  </xdr:twoCellAnchor>
  <xdr:oneCellAnchor>
    <xdr:from>
      <xdr:col>0</xdr:col>
      <xdr:colOff>52274</xdr:colOff>
      <xdr:row>79</xdr:row>
      <xdr:rowOff>23700</xdr:rowOff>
    </xdr:from>
    <xdr:ext cx="540000" cy="491880"/>
    <xdr:pic>
      <xdr:nvPicPr>
        <xdr:cNvPr id="38" name="Рисунок 37">
          <a:extLst>
            <a:ext uri="{FF2B5EF4-FFF2-40B4-BE49-F238E27FC236}">
              <a16:creationId xmlns:a16="http://schemas.microsoft.com/office/drawing/2014/main" xmlns="" id="{025EE786-6279-4588-87BB-3B4B0E8D8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2274" y="59688300"/>
          <a:ext cx="540000" cy="491880"/>
        </a:xfrm>
        <a:prstGeom prst="rect">
          <a:avLst/>
        </a:prstGeom>
      </xdr:spPr>
    </xdr:pic>
    <xdr:clientData/>
  </xdr:oneCellAnchor>
  <xdr:oneCellAnchor>
    <xdr:from>
      <xdr:col>0</xdr:col>
      <xdr:colOff>52274</xdr:colOff>
      <xdr:row>76</xdr:row>
      <xdr:rowOff>23700</xdr:rowOff>
    </xdr:from>
    <xdr:ext cx="540000" cy="491880"/>
    <xdr:pic>
      <xdr:nvPicPr>
        <xdr:cNvPr id="42" name="Рисунок 41">
          <a:extLst>
            <a:ext uri="{FF2B5EF4-FFF2-40B4-BE49-F238E27FC236}">
              <a16:creationId xmlns:a16="http://schemas.microsoft.com/office/drawing/2014/main" xmlns="" id="{ED9ADD5A-FB43-4CF6-A44A-184C5C9CD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2274" y="58053810"/>
          <a:ext cx="540000" cy="491880"/>
        </a:xfrm>
        <a:prstGeom prst="rect">
          <a:avLst/>
        </a:prstGeom>
      </xdr:spPr>
    </xdr:pic>
    <xdr:clientData/>
  </xdr:oneCellAnchor>
  <xdr:oneCellAnchor>
    <xdr:from>
      <xdr:col>0</xdr:col>
      <xdr:colOff>52274</xdr:colOff>
      <xdr:row>78</xdr:row>
      <xdr:rowOff>23700</xdr:rowOff>
    </xdr:from>
    <xdr:ext cx="540000" cy="491880"/>
    <xdr:pic>
      <xdr:nvPicPr>
        <xdr:cNvPr id="48" name="Рисунок 47">
          <a:extLst>
            <a:ext uri="{FF2B5EF4-FFF2-40B4-BE49-F238E27FC236}">
              <a16:creationId xmlns:a16="http://schemas.microsoft.com/office/drawing/2014/main" xmlns="" id="{A113A210-8937-498E-8A86-BAB09154C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2274" y="59143470"/>
          <a:ext cx="540000" cy="49188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52274</xdr:colOff>
      <xdr:row>47</xdr:row>
      <xdr:rowOff>23700</xdr:rowOff>
    </xdr:from>
    <xdr:ext cx="540000" cy="491880"/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2274" y="17214420"/>
          <a:ext cx="540000" cy="491880"/>
        </a:xfrm>
        <a:prstGeom prst="rect">
          <a:avLst/>
        </a:prstGeom>
      </xdr:spPr>
    </xdr:pic>
    <xdr:clientData/>
  </xdr:oneCellAnchor>
  <xdr:oneCellAnchor>
    <xdr:from>
      <xdr:col>0</xdr:col>
      <xdr:colOff>49875</xdr:colOff>
      <xdr:row>49</xdr:row>
      <xdr:rowOff>21300</xdr:rowOff>
    </xdr:from>
    <xdr:ext cx="504000" cy="504000"/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9875" y="17577780"/>
          <a:ext cx="504000" cy="504000"/>
        </a:xfrm>
        <a:prstGeom prst="rect">
          <a:avLst/>
        </a:prstGeom>
      </xdr:spPr>
    </xdr:pic>
    <xdr:clientData/>
  </xdr:oneCellAnchor>
  <xdr:oneCellAnchor>
    <xdr:from>
      <xdr:col>0</xdr:col>
      <xdr:colOff>47625</xdr:colOff>
      <xdr:row>34</xdr:row>
      <xdr:rowOff>9525</xdr:rowOff>
    </xdr:from>
    <xdr:ext cx="504000" cy="504000"/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625" y="15371445"/>
          <a:ext cx="504000" cy="504000"/>
        </a:xfrm>
        <a:prstGeom prst="rect">
          <a:avLst/>
        </a:prstGeom>
      </xdr:spPr>
    </xdr:pic>
    <xdr:clientData/>
  </xdr:oneCellAnchor>
  <xdr:oneCellAnchor>
    <xdr:from>
      <xdr:col>0</xdr:col>
      <xdr:colOff>42867</xdr:colOff>
      <xdr:row>27</xdr:row>
      <xdr:rowOff>28578</xdr:rowOff>
    </xdr:from>
    <xdr:ext cx="504000" cy="504000"/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2867" y="12098658"/>
          <a:ext cx="504000" cy="504000"/>
        </a:xfrm>
        <a:prstGeom prst="rect">
          <a:avLst/>
        </a:prstGeom>
      </xdr:spPr>
    </xdr:pic>
    <xdr:clientData/>
  </xdr:oneCellAnchor>
  <xdr:oneCellAnchor>
    <xdr:from>
      <xdr:col>0</xdr:col>
      <xdr:colOff>47622</xdr:colOff>
      <xdr:row>25</xdr:row>
      <xdr:rowOff>12814</xdr:rowOff>
    </xdr:from>
    <xdr:ext cx="504000" cy="504001"/>
    <xdr:pic>
      <xdr:nvPicPr>
        <xdr:cNvPr id="8" name="Рисунок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622" y="11534254"/>
          <a:ext cx="504000" cy="504001"/>
        </a:xfrm>
        <a:prstGeom prst="rect">
          <a:avLst/>
        </a:prstGeom>
      </xdr:spPr>
    </xdr:pic>
    <xdr:clientData/>
  </xdr:oneCellAnchor>
  <xdr:oneCellAnchor>
    <xdr:from>
      <xdr:col>0</xdr:col>
      <xdr:colOff>50426</xdr:colOff>
      <xdr:row>26</xdr:row>
      <xdr:rowOff>23815</xdr:rowOff>
    </xdr:from>
    <xdr:ext cx="504000" cy="499516"/>
    <xdr:pic>
      <xdr:nvPicPr>
        <xdr:cNvPr id="9" name="Рисунок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0426" y="11728135"/>
          <a:ext cx="504000" cy="499516"/>
        </a:xfrm>
        <a:prstGeom prst="rect">
          <a:avLst/>
        </a:prstGeom>
      </xdr:spPr>
    </xdr:pic>
    <xdr:clientData/>
  </xdr:oneCellAnchor>
  <xdr:oneCellAnchor>
    <xdr:from>
      <xdr:col>0</xdr:col>
      <xdr:colOff>47624</xdr:colOff>
      <xdr:row>17</xdr:row>
      <xdr:rowOff>0</xdr:rowOff>
    </xdr:from>
    <xdr:ext cx="504000" cy="504000"/>
    <xdr:pic>
      <xdr:nvPicPr>
        <xdr:cNvPr id="10" name="Рисунок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624" y="10058400"/>
          <a:ext cx="504000" cy="504000"/>
        </a:xfrm>
        <a:prstGeom prst="rect">
          <a:avLst/>
        </a:prstGeom>
      </xdr:spPr>
    </xdr:pic>
    <xdr:clientData/>
  </xdr:oneCellAnchor>
  <xdr:oneCellAnchor>
    <xdr:from>
      <xdr:col>0</xdr:col>
      <xdr:colOff>47623</xdr:colOff>
      <xdr:row>24</xdr:row>
      <xdr:rowOff>90</xdr:rowOff>
    </xdr:from>
    <xdr:ext cx="504000" cy="504001"/>
    <xdr:pic>
      <xdr:nvPicPr>
        <xdr:cNvPr id="11" name="Рисунок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623" y="11338650"/>
          <a:ext cx="504000" cy="504001"/>
        </a:xfrm>
        <a:prstGeom prst="rect">
          <a:avLst/>
        </a:prstGeom>
      </xdr:spPr>
    </xdr:pic>
    <xdr:clientData/>
  </xdr:oneCellAnchor>
  <xdr:oneCellAnchor>
    <xdr:from>
      <xdr:col>0</xdr:col>
      <xdr:colOff>47625</xdr:colOff>
      <xdr:row>42</xdr:row>
      <xdr:rowOff>19050</xdr:rowOff>
    </xdr:from>
    <xdr:ext cx="504000" cy="504000"/>
    <xdr:pic>
      <xdr:nvPicPr>
        <xdr:cNvPr id="12" name="Рисунок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625" y="16844010"/>
          <a:ext cx="504000" cy="504000"/>
        </a:xfrm>
        <a:prstGeom prst="rect">
          <a:avLst/>
        </a:prstGeom>
      </xdr:spPr>
    </xdr:pic>
    <xdr:clientData/>
  </xdr:oneCellAnchor>
  <xdr:oneCellAnchor>
    <xdr:from>
      <xdr:col>0</xdr:col>
      <xdr:colOff>44824</xdr:colOff>
      <xdr:row>38</xdr:row>
      <xdr:rowOff>22412</xdr:rowOff>
    </xdr:from>
    <xdr:ext cx="504000" cy="504000"/>
    <xdr:pic>
      <xdr:nvPicPr>
        <xdr:cNvPr id="14" name="Рисунок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44824" y="16115852"/>
          <a:ext cx="504000" cy="504000"/>
        </a:xfrm>
        <a:prstGeom prst="rect">
          <a:avLst/>
        </a:prstGeom>
      </xdr:spPr>
    </xdr:pic>
    <xdr:clientData/>
  </xdr:oneCellAnchor>
  <xdr:oneCellAnchor>
    <xdr:from>
      <xdr:col>0</xdr:col>
      <xdr:colOff>56030</xdr:colOff>
      <xdr:row>22</xdr:row>
      <xdr:rowOff>501742</xdr:rowOff>
    </xdr:from>
    <xdr:ext cx="504000" cy="504561"/>
    <xdr:pic>
      <xdr:nvPicPr>
        <xdr:cNvPr id="15" name="Рисунок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56030" y="11154502"/>
          <a:ext cx="504000" cy="504561"/>
        </a:xfrm>
        <a:prstGeom prst="rect">
          <a:avLst/>
        </a:prstGeom>
      </xdr:spPr>
    </xdr:pic>
    <xdr:clientData/>
  </xdr:oneCellAnchor>
  <xdr:oneCellAnchor>
    <xdr:from>
      <xdr:col>0</xdr:col>
      <xdr:colOff>47630</xdr:colOff>
      <xdr:row>37</xdr:row>
      <xdr:rowOff>0</xdr:rowOff>
    </xdr:from>
    <xdr:ext cx="504000" cy="506721"/>
    <xdr:pic>
      <xdr:nvPicPr>
        <xdr:cNvPr id="17" name="Рисунок 16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630" y="15910560"/>
          <a:ext cx="504000" cy="506721"/>
        </a:xfrm>
        <a:prstGeom prst="rect">
          <a:avLst/>
        </a:prstGeom>
      </xdr:spPr>
    </xdr:pic>
    <xdr:clientData/>
  </xdr:oneCellAnchor>
  <xdr:oneCellAnchor>
    <xdr:from>
      <xdr:col>0</xdr:col>
      <xdr:colOff>52393</xdr:colOff>
      <xdr:row>40</xdr:row>
      <xdr:rowOff>9526</xdr:rowOff>
    </xdr:from>
    <xdr:ext cx="504000" cy="504000"/>
    <xdr:pic>
      <xdr:nvPicPr>
        <xdr:cNvPr id="18" name="Рисунок 17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52393" y="16468726"/>
          <a:ext cx="504000" cy="504000"/>
        </a:xfrm>
        <a:prstGeom prst="rect">
          <a:avLst/>
        </a:prstGeom>
      </xdr:spPr>
    </xdr:pic>
    <xdr:clientData/>
  </xdr:oneCellAnchor>
  <xdr:oneCellAnchor>
    <xdr:from>
      <xdr:col>0</xdr:col>
      <xdr:colOff>47630</xdr:colOff>
      <xdr:row>36</xdr:row>
      <xdr:rowOff>4763</xdr:rowOff>
    </xdr:from>
    <xdr:ext cx="504000" cy="506722"/>
    <xdr:pic>
      <xdr:nvPicPr>
        <xdr:cNvPr id="21" name="Рисунок 20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47630" y="15732443"/>
          <a:ext cx="504000" cy="506722"/>
        </a:xfrm>
        <a:prstGeom prst="rect">
          <a:avLst/>
        </a:prstGeom>
      </xdr:spPr>
    </xdr:pic>
    <xdr:clientData/>
  </xdr:oneCellAnchor>
  <xdr:oneCellAnchor>
    <xdr:from>
      <xdr:col>0</xdr:col>
      <xdr:colOff>52393</xdr:colOff>
      <xdr:row>41</xdr:row>
      <xdr:rowOff>0</xdr:rowOff>
    </xdr:from>
    <xdr:ext cx="504000" cy="504561"/>
    <xdr:pic>
      <xdr:nvPicPr>
        <xdr:cNvPr id="23" name="Рисунок 22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52393" y="16642080"/>
          <a:ext cx="504000" cy="504561"/>
        </a:xfrm>
        <a:prstGeom prst="rect">
          <a:avLst/>
        </a:prstGeom>
      </xdr:spPr>
    </xdr:pic>
    <xdr:clientData/>
  </xdr:oneCellAnchor>
  <xdr:oneCellAnchor>
    <xdr:from>
      <xdr:col>0</xdr:col>
      <xdr:colOff>71445</xdr:colOff>
      <xdr:row>33</xdr:row>
      <xdr:rowOff>0</xdr:rowOff>
    </xdr:from>
    <xdr:ext cx="479937" cy="504000"/>
    <xdr:pic>
      <xdr:nvPicPr>
        <xdr:cNvPr id="26" name="Рисунок 25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445" y="14996160"/>
          <a:ext cx="479937" cy="504000"/>
        </a:xfrm>
        <a:prstGeom prst="rect">
          <a:avLst/>
        </a:prstGeom>
      </xdr:spPr>
    </xdr:pic>
    <xdr:clientData/>
  </xdr:oneCellAnchor>
  <xdr:oneCellAnchor>
    <xdr:from>
      <xdr:col>0</xdr:col>
      <xdr:colOff>38104</xdr:colOff>
      <xdr:row>22</xdr:row>
      <xdr:rowOff>0</xdr:rowOff>
    </xdr:from>
    <xdr:ext cx="517622" cy="506721"/>
    <xdr:pic>
      <xdr:nvPicPr>
        <xdr:cNvPr id="31" name="Рисунок 21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4" y="10972799"/>
          <a:ext cx="517622" cy="506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57836</xdr:colOff>
      <xdr:row>18</xdr:row>
      <xdr:rowOff>4768</xdr:rowOff>
    </xdr:from>
    <xdr:ext cx="504000" cy="504000"/>
    <xdr:pic>
      <xdr:nvPicPr>
        <xdr:cNvPr id="38" name="Рисунок 37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57836" y="13998354"/>
          <a:ext cx="504000" cy="504000"/>
        </a:xfrm>
        <a:prstGeom prst="rect">
          <a:avLst/>
        </a:prstGeom>
      </xdr:spPr>
    </xdr:pic>
    <xdr:clientData/>
  </xdr:oneCellAnchor>
  <xdr:oneCellAnchor>
    <xdr:from>
      <xdr:col>0</xdr:col>
      <xdr:colOff>32658</xdr:colOff>
      <xdr:row>21</xdr:row>
      <xdr:rowOff>0</xdr:rowOff>
    </xdr:from>
    <xdr:ext cx="504000" cy="499516"/>
    <xdr:pic>
      <xdr:nvPicPr>
        <xdr:cNvPr id="30" name="Рисунок 29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658" y="11364686"/>
          <a:ext cx="504000" cy="499516"/>
        </a:xfrm>
        <a:prstGeom prst="rect">
          <a:avLst/>
        </a:prstGeom>
      </xdr:spPr>
    </xdr:pic>
    <xdr:clientData/>
  </xdr:oneCellAnchor>
  <xdr:oneCellAnchor>
    <xdr:from>
      <xdr:col>0</xdr:col>
      <xdr:colOff>32658</xdr:colOff>
      <xdr:row>46</xdr:row>
      <xdr:rowOff>0</xdr:rowOff>
    </xdr:from>
    <xdr:ext cx="504000" cy="504000"/>
    <xdr:pic>
      <xdr:nvPicPr>
        <xdr:cNvPr id="35" name="Рисунок 34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658" y="27638829"/>
          <a:ext cx="504000" cy="504000"/>
        </a:xfrm>
        <a:prstGeom prst="rect">
          <a:avLst/>
        </a:prstGeom>
      </xdr:spPr>
    </xdr:pic>
    <xdr:clientData/>
  </xdr:oneCellAnchor>
  <xdr:twoCellAnchor editAs="oneCell">
    <xdr:from>
      <xdr:col>0</xdr:col>
      <xdr:colOff>54430</xdr:colOff>
      <xdr:row>20</xdr:row>
      <xdr:rowOff>0</xdr:rowOff>
    </xdr:from>
    <xdr:to>
      <xdr:col>0</xdr:col>
      <xdr:colOff>558430</xdr:colOff>
      <xdr:row>20</xdr:row>
      <xdr:rowOff>507174</xdr:rowOff>
    </xdr:to>
    <xdr:pic>
      <xdr:nvPicPr>
        <xdr:cNvPr id="39" name="Рисунок 38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4430" y="8594271"/>
          <a:ext cx="504000" cy="507174"/>
        </a:xfrm>
        <a:prstGeom prst="rect">
          <a:avLst/>
        </a:prstGeom>
      </xdr:spPr>
    </xdr:pic>
    <xdr:clientData/>
  </xdr:twoCellAnchor>
  <xdr:twoCellAnchor editAs="oneCell">
    <xdr:from>
      <xdr:col>0</xdr:col>
      <xdr:colOff>43544</xdr:colOff>
      <xdr:row>39</xdr:row>
      <xdr:rowOff>0</xdr:rowOff>
    </xdr:from>
    <xdr:to>
      <xdr:col>0</xdr:col>
      <xdr:colOff>547544</xdr:colOff>
      <xdr:row>39</xdr:row>
      <xdr:rowOff>506722</xdr:rowOff>
    </xdr:to>
    <xdr:pic>
      <xdr:nvPicPr>
        <xdr:cNvPr id="44" name="Рисунок 43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544" y="21814971"/>
          <a:ext cx="504000" cy="506722"/>
        </a:xfrm>
        <a:prstGeom prst="rect">
          <a:avLst/>
        </a:prstGeom>
      </xdr:spPr>
    </xdr:pic>
    <xdr:clientData/>
  </xdr:twoCellAnchor>
  <xdr:twoCellAnchor editAs="oneCell">
    <xdr:from>
      <xdr:col>0</xdr:col>
      <xdr:colOff>32658</xdr:colOff>
      <xdr:row>44</xdr:row>
      <xdr:rowOff>0</xdr:rowOff>
    </xdr:from>
    <xdr:to>
      <xdr:col>0</xdr:col>
      <xdr:colOff>537668</xdr:colOff>
      <xdr:row>44</xdr:row>
      <xdr:rowOff>504000</xdr:rowOff>
    </xdr:to>
    <xdr:pic>
      <xdr:nvPicPr>
        <xdr:cNvPr id="45" name="Рисунок 44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32658" y="23948571"/>
          <a:ext cx="505010" cy="504000"/>
        </a:xfrm>
        <a:prstGeom prst="rect">
          <a:avLst/>
        </a:prstGeom>
      </xdr:spPr>
    </xdr:pic>
    <xdr:clientData/>
  </xdr:twoCellAnchor>
  <xdr:oneCellAnchor>
    <xdr:from>
      <xdr:col>0</xdr:col>
      <xdr:colOff>54430</xdr:colOff>
      <xdr:row>19</xdr:row>
      <xdr:rowOff>0</xdr:rowOff>
    </xdr:from>
    <xdr:ext cx="504000" cy="503439"/>
    <xdr:pic>
      <xdr:nvPicPr>
        <xdr:cNvPr id="32" name="Рисунок 31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54430" y="10678886"/>
          <a:ext cx="504000" cy="503439"/>
        </a:xfrm>
        <a:prstGeom prst="rect">
          <a:avLst/>
        </a:prstGeom>
      </xdr:spPr>
    </xdr:pic>
    <xdr:clientData/>
  </xdr:oneCellAnchor>
  <xdr:twoCellAnchor editAs="oneCell">
    <xdr:from>
      <xdr:col>0</xdr:col>
      <xdr:colOff>38101</xdr:colOff>
      <xdr:row>35</xdr:row>
      <xdr:rowOff>0</xdr:rowOff>
    </xdr:from>
    <xdr:to>
      <xdr:col>0</xdr:col>
      <xdr:colOff>542101</xdr:colOff>
      <xdr:row>35</xdr:row>
      <xdr:rowOff>504001</xdr:rowOff>
    </xdr:to>
    <xdr:pic>
      <xdr:nvPicPr>
        <xdr:cNvPr id="33" name="Рисунок 32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8101" y="23001514"/>
          <a:ext cx="504000" cy="504001"/>
        </a:xfrm>
        <a:prstGeom prst="rect">
          <a:avLst/>
        </a:prstGeom>
      </xdr:spPr>
    </xdr:pic>
    <xdr:clientData/>
  </xdr:twoCellAnchor>
  <xdr:oneCellAnchor>
    <xdr:from>
      <xdr:col>0</xdr:col>
      <xdr:colOff>32658</xdr:colOff>
      <xdr:row>45</xdr:row>
      <xdr:rowOff>0</xdr:rowOff>
    </xdr:from>
    <xdr:ext cx="504000" cy="504001"/>
    <xdr:pic>
      <xdr:nvPicPr>
        <xdr:cNvPr id="36" name="Рисунок 35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658" y="28335514"/>
          <a:ext cx="504000" cy="504001"/>
        </a:xfrm>
        <a:prstGeom prst="rect">
          <a:avLst/>
        </a:prstGeom>
      </xdr:spPr>
    </xdr:pic>
    <xdr:clientData/>
  </xdr:oneCellAnchor>
  <xdr:twoCellAnchor editAs="oneCell">
    <xdr:from>
      <xdr:col>0</xdr:col>
      <xdr:colOff>38101</xdr:colOff>
      <xdr:row>43</xdr:row>
      <xdr:rowOff>5443</xdr:rowOff>
    </xdr:from>
    <xdr:to>
      <xdr:col>0</xdr:col>
      <xdr:colOff>542101</xdr:colOff>
      <xdr:row>43</xdr:row>
      <xdr:rowOff>509443</xdr:rowOff>
    </xdr:to>
    <xdr:pic>
      <xdr:nvPicPr>
        <xdr:cNvPr id="40" name="Рисунок 39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8101" y="34306329"/>
          <a:ext cx="504000" cy="504000"/>
        </a:xfrm>
        <a:prstGeom prst="rect">
          <a:avLst/>
        </a:prstGeom>
      </xdr:spPr>
    </xdr:pic>
    <xdr:clientData/>
  </xdr:twoCellAnchor>
  <xdr:oneCellAnchor>
    <xdr:from>
      <xdr:col>0</xdr:col>
      <xdr:colOff>52274</xdr:colOff>
      <xdr:row>48</xdr:row>
      <xdr:rowOff>23700</xdr:rowOff>
    </xdr:from>
    <xdr:ext cx="540000" cy="491880"/>
    <xdr:pic>
      <xdr:nvPicPr>
        <xdr:cNvPr id="34" name="Рисунок 33">
          <a:extLst>
            <a:ext uri="{FF2B5EF4-FFF2-40B4-BE49-F238E27FC236}">
              <a16:creationId xmlns:a16="http://schemas.microsoft.com/office/drawing/2014/main" xmlns="" id="{9B0E7AEF-9631-48DA-8A48-DA2FA74EE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2274" y="24217200"/>
          <a:ext cx="540000" cy="491880"/>
        </a:xfrm>
        <a:prstGeom prst="rect">
          <a:avLst/>
        </a:prstGeom>
      </xdr:spPr>
    </xdr:pic>
    <xdr:clientData/>
  </xdr:oneCellAnchor>
  <xdr:oneCellAnchor>
    <xdr:from>
      <xdr:col>0</xdr:col>
      <xdr:colOff>63500</xdr:colOff>
      <xdr:row>32</xdr:row>
      <xdr:rowOff>0</xdr:rowOff>
    </xdr:from>
    <xdr:ext cx="504000" cy="499516"/>
    <xdr:pic>
      <xdr:nvPicPr>
        <xdr:cNvPr id="41" name="Рисунок 40">
          <a:extLst>
            <a:ext uri="{FF2B5EF4-FFF2-40B4-BE49-F238E27FC236}">
              <a16:creationId xmlns:a16="http://schemas.microsoft.com/office/drawing/2014/main" xmlns="" id="{433DBAA0-3546-4E89-AEEC-40881C33E4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500" y="16725900"/>
          <a:ext cx="504000" cy="49951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manager\AppData\Local\Temp\Rar$DI00.349\DOCUME~1\ZaziOne\LOCALS~1\Temp\bat\&#1056;&#1072;&#1089;&#1095;&#1077;&#1090;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AZIPC\Exchange\_&#1071;&#1085;&#1072;\&#1056;&#1052;C%20&#1040;&#1074;&#1090;&#1086;\&#1060;&#1080;&#1085;&#1072;&#1085;&#1089;&#1086;&#1074;&#1072;&#1103;%20&#1084;&#1086;&#1076;&#1077;&#1083;&#1100;%20&#1092;&#1088;&#1072;&#1085;&#1096;&#1080;&#1079;&#1099;%20RMSAuto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manager\AppData\Local\Temp\Rar$DI00.349\Documents%20and%20Settings\&#1052;&#1072;&#1088;&#1075;&#1086;\&#1056;&#1072;&#1073;&#1086;&#1095;&#1080;&#1081;%20&#1089;&#1090;&#1086;&#1083;\5.%20&#1058;&#1069;&#105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мпания"/>
      <sheetName val="Проект"/>
      <sheetName val="Сумм"/>
      <sheetName val="Анализ"/>
      <sheetName val="Отчет"/>
      <sheetName val="Опции"/>
      <sheetName val="Язык"/>
    </sheetNames>
    <sheetDataSet>
      <sheetData sheetId="0" refreshError="1"/>
      <sheetData sheetId="1" refreshError="1">
        <row r="7">
          <cell r="D7">
            <v>39083</v>
          </cell>
        </row>
        <row r="8">
          <cell r="D8">
            <v>6</v>
          </cell>
        </row>
        <row r="9">
          <cell r="D9">
            <v>3</v>
          </cell>
          <cell r="E9" t="str">
            <v>пг.</v>
          </cell>
        </row>
        <row r="10">
          <cell r="D10">
            <v>180</v>
          </cell>
        </row>
        <row r="11">
          <cell r="B11" t="str">
            <v>грн.</v>
          </cell>
          <cell r="D11">
            <v>4</v>
          </cell>
        </row>
        <row r="12">
          <cell r="B12" t="str">
            <v>тыс. $</v>
          </cell>
          <cell r="D12">
            <v>6</v>
          </cell>
        </row>
        <row r="17">
          <cell r="D17">
            <v>0</v>
          </cell>
        </row>
        <row r="18">
          <cell r="D18" t="b">
            <v>0</v>
          </cell>
        </row>
        <row r="19">
          <cell r="B19" t="str">
            <v>грн.</v>
          </cell>
          <cell r="D19">
            <v>1</v>
          </cell>
        </row>
        <row r="20">
          <cell r="D20" t="b">
            <v>1</v>
          </cell>
        </row>
        <row r="25">
          <cell r="F25">
            <v>2007</v>
          </cell>
        </row>
        <row r="26">
          <cell r="F26">
            <v>1</v>
          </cell>
        </row>
        <row r="86">
          <cell r="F86" t="str">
            <v>"0"</v>
          </cell>
          <cell r="G86" t="str">
            <v>1/ 2007</v>
          </cell>
          <cell r="H86" t="str">
            <v>2/ 2007</v>
          </cell>
          <cell r="I86" t="str">
            <v>1/ 2008</v>
          </cell>
          <cell r="J86" t="str">
            <v>2/ 2008</v>
          </cell>
          <cell r="K86" t="str">
            <v>1/ 2009</v>
          </cell>
          <cell r="L86" t="str">
            <v>2/ 2009</v>
          </cell>
        </row>
        <row r="88">
          <cell r="F88">
            <v>2</v>
          </cell>
        </row>
        <row r="749">
          <cell r="B749">
            <v>0</v>
          </cell>
        </row>
        <row r="751">
          <cell r="B751">
            <v>0</v>
          </cell>
        </row>
        <row r="755">
          <cell r="B755">
            <v>0</v>
          </cell>
        </row>
        <row r="760">
          <cell r="B760">
            <v>0</v>
          </cell>
          <cell r="C760">
            <v>0</v>
          </cell>
        </row>
        <row r="761">
          <cell r="B761">
            <v>0</v>
          </cell>
          <cell r="C761">
            <v>0</v>
          </cell>
        </row>
        <row r="772">
          <cell r="B772">
            <v>0</v>
          </cell>
          <cell r="C772">
            <v>0</v>
          </cell>
        </row>
        <row r="773">
          <cell r="B773">
            <v>0</v>
          </cell>
          <cell r="C773">
            <v>10</v>
          </cell>
        </row>
        <row r="889">
          <cell r="B889">
            <v>0.2</v>
          </cell>
        </row>
        <row r="890">
          <cell r="B890">
            <v>30</v>
          </cell>
        </row>
        <row r="891">
          <cell r="B891">
            <v>2</v>
          </cell>
        </row>
        <row r="892">
          <cell r="B892">
            <v>1</v>
          </cell>
        </row>
        <row r="945">
          <cell r="B945">
            <v>0.25</v>
          </cell>
        </row>
        <row r="946">
          <cell r="B946">
            <v>60</v>
          </cell>
        </row>
      </sheetData>
      <sheetData sheetId="2" refreshError="1"/>
      <sheetData sheetId="3" refreshError="1">
        <row r="9">
          <cell r="E9">
            <v>4</v>
          </cell>
        </row>
      </sheetData>
      <sheetData sheetId="4" refreshError="1"/>
      <sheetData sheetId="5" refreshError="1">
        <row r="5">
          <cell r="B5" t="str">
            <v>5.05</v>
          </cell>
        </row>
        <row r="10">
          <cell r="B10" t="b">
            <v>1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 Исходные данные"/>
      <sheetName val="2. Резюме проекта"/>
      <sheetName val="3. Детальный расчет"/>
    </sheetNames>
    <sheetDataSet>
      <sheetData sheetId="0">
        <row r="1">
          <cell r="I1">
            <v>4</v>
          </cell>
        </row>
      </sheetData>
      <sheetData sheetId="1"/>
      <sheetData sheetId="2">
        <row r="12">
          <cell r="D12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82"/>
  <sheetViews>
    <sheetView showGridLines="0" topLeftCell="A62" zoomScale="60" zoomScaleNormal="60" zoomScaleSheetLayoutView="50" workbookViewId="0">
      <selection activeCell="X78" sqref="X78"/>
    </sheetView>
  </sheetViews>
  <sheetFormatPr defaultColWidth="8.85546875" defaultRowHeight="34.15" customHeight="1"/>
  <cols>
    <col min="1" max="1" width="8.42578125" style="7" customWidth="1"/>
    <col min="2" max="2" width="24.42578125" style="7" customWidth="1"/>
    <col min="3" max="4" width="18.42578125" style="7" customWidth="1"/>
    <col min="5" max="15" width="14.5703125" style="7" customWidth="1"/>
    <col min="16" max="16" width="11.85546875" style="7" customWidth="1"/>
    <col min="17" max="17" width="10.5703125" style="7" customWidth="1"/>
    <col min="18" max="18" width="9.140625" style="7" customWidth="1"/>
    <col min="19" max="19" width="1.7109375" style="7" hidden="1" customWidth="1"/>
    <col min="20" max="20" width="4.28515625" style="7" hidden="1" customWidth="1"/>
    <col min="21" max="21" width="1.7109375" style="7" hidden="1" customWidth="1"/>
    <col min="22" max="22" width="8.140625" style="7" hidden="1" customWidth="1"/>
    <col min="23" max="23" width="12.85546875" style="7" customWidth="1"/>
    <col min="24" max="25" width="8.85546875" style="7" customWidth="1"/>
    <col min="26" max="16384" width="8.85546875" style="7"/>
  </cols>
  <sheetData>
    <row r="1" spans="1:25" ht="23.1" customHeight="1">
      <c r="A1" s="302" t="s">
        <v>5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184"/>
    </row>
    <row r="2" spans="1:25" ht="75.95" customHeight="1">
      <c r="A2" s="303" t="s">
        <v>116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136"/>
      <c r="S2" s="1">
        <v>1</v>
      </c>
      <c r="T2" s="196" t="s">
        <v>64</v>
      </c>
      <c r="U2" s="197">
        <v>1</v>
      </c>
      <c r="V2" s="197" t="s">
        <v>23</v>
      </c>
      <c r="X2" s="139"/>
      <c r="Y2" s="139"/>
    </row>
    <row r="3" spans="1:25" ht="34.15" customHeight="1">
      <c r="A3" s="185" t="s">
        <v>47</v>
      </c>
      <c r="B3" s="145"/>
      <c r="O3" s="142"/>
      <c r="P3" s="186"/>
      <c r="Q3" s="143"/>
      <c r="S3" s="196"/>
      <c r="T3" s="196" t="str">
        <f>E5</f>
        <v>USD</v>
      </c>
      <c r="U3" s="197"/>
      <c r="V3" s="197" t="s">
        <v>24</v>
      </c>
      <c r="X3" s="139"/>
      <c r="Y3" s="139"/>
    </row>
    <row r="4" spans="1:25" ht="34.15" customHeight="1">
      <c r="A4" s="144" t="s">
        <v>22</v>
      </c>
      <c r="B4" s="145"/>
      <c r="K4" s="187"/>
      <c r="L4" s="187"/>
      <c r="O4" s="142"/>
      <c r="P4" s="142"/>
      <c r="Q4" s="143"/>
      <c r="S4" s="196"/>
      <c r="T4" s="196" t="str">
        <f>I5</f>
        <v>EUR</v>
      </c>
      <c r="U4" s="197"/>
      <c r="V4" s="197" t="s">
        <v>50</v>
      </c>
    </row>
    <row r="5" spans="1:25" ht="46.5" customHeight="1">
      <c r="A5" s="305" t="s">
        <v>107</v>
      </c>
      <c r="B5" s="305"/>
      <c r="C5" s="305"/>
      <c r="D5" s="306"/>
      <c r="E5" s="310" t="s">
        <v>62</v>
      </c>
      <c r="F5" s="311"/>
      <c r="G5" s="312">
        <v>63.006599999999999</v>
      </c>
      <c r="H5" s="313"/>
      <c r="I5" s="310" t="s">
        <v>63</v>
      </c>
      <c r="J5" s="311"/>
      <c r="K5" s="312">
        <v>75.040899999999993</v>
      </c>
      <c r="L5" s="313"/>
      <c r="M5" s="204" t="s">
        <v>108</v>
      </c>
      <c r="N5" s="312">
        <v>0.191164</v>
      </c>
      <c r="O5" s="313"/>
      <c r="P5" s="142"/>
      <c r="Q5" s="143"/>
      <c r="S5" s="196"/>
      <c r="T5" s="196" t="str">
        <f>M5</f>
        <v>KZT</v>
      </c>
      <c r="U5" s="197"/>
      <c r="V5" s="197" t="s">
        <v>51</v>
      </c>
    </row>
    <row r="6" spans="1:25" ht="12.6" customHeight="1">
      <c r="A6" s="146"/>
      <c r="S6" s="198"/>
      <c r="T6" s="196"/>
      <c r="U6" s="197"/>
      <c r="V6" s="197" t="s">
        <v>52</v>
      </c>
    </row>
    <row r="7" spans="1:25" ht="34.15" customHeight="1">
      <c r="A7" s="146" t="s">
        <v>49</v>
      </c>
      <c r="S7" s="198"/>
      <c r="T7" s="196"/>
      <c r="U7" s="197"/>
      <c r="V7" s="197" t="s">
        <v>75</v>
      </c>
    </row>
    <row r="8" spans="1:25" ht="52.15" customHeight="1">
      <c r="A8" s="260" t="s">
        <v>80</v>
      </c>
      <c r="B8" s="260"/>
      <c r="C8" s="253" t="s">
        <v>113</v>
      </c>
      <c r="D8" s="253"/>
      <c r="E8" s="253"/>
      <c r="F8" s="253"/>
      <c r="G8" s="253" t="s">
        <v>127</v>
      </c>
      <c r="H8" s="253"/>
      <c r="I8" s="253"/>
      <c r="J8" s="253"/>
      <c r="K8" s="253"/>
      <c r="L8" s="253"/>
      <c r="M8" s="253" t="s">
        <v>128</v>
      </c>
      <c r="N8" s="253"/>
      <c r="O8" s="253"/>
      <c r="S8" s="198"/>
      <c r="T8" s="196"/>
      <c r="U8" s="197"/>
      <c r="V8" s="197" t="s">
        <v>25</v>
      </c>
    </row>
    <row r="9" spans="1:25" s="148" customFormat="1" ht="57" customHeight="1">
      <c r="A9" s="260"/>
      <c r="B9" s="260"/>
      <c r="C9" s="257" t="s">
        <v>64</v>
      </c>
      <c r="D9" s="257"/>
      <c r="E9" s="257" t="str">
        <f>"В валюте, в которой производиться расчет, "&amp;CHOOSE($S$2,$T$2,$T$3,$T$4,$T$5)&amp;""</f>
        <v>В валюте, в которой производиться расчет, RUB</v>
      </c>
      <c r="F9" s="257"/>
      <c r="G9" s="255" t="s">
        <v>124</v>
      </c>
      <c r="H9" s="255"/>
      <c r="I9" s="255" t="s">
        <v>125</v>
      </c>
      <c r="J9" s="255"/>
      <c r="K9" s="255" t="s">
        <v>126</v>
      </c>
      <c r="L9" s="255"/>
      <c r="M9" s="253"/>
      <c r="N9" s="253"/>
      <c r="O9" s="253"/>
      <c r="P9" s="149"/>
      <c r="S9" s="199"/>
      <c r="T9" s="200"/>
      <c r="U9" s="201"/>
      <c r="V9" s="197" t="s">
        <v>26</v>
      </c>
      <c r="W9" s="152"/>
    </row>
    <row r="10" spans="1:25" ht="40.15" customHeight="1">
      <c r="A10" s="259" t="s">
        <v>118</v>
      </c>
      <c r="B10" s="259"/>
      <c r="C10" s="256">
        <v>40000</v>
      </c>
      <c r="D10" s="256"/>
      <c r="E10" s="258">
        <f>C10/CHOOSE($S$2,1,$G$5,$K$5,$N$5)</f>
        <v>40000</v>
      </c>
      <c r="F10" s="258"/>
      <c r="G10" s="256">
        <v>4</v>
      </c>
      <c r="H10" s="256"/>
      <c r="I10" s="256">
        <v>5</v>
      </c>
      <c r="J10" s="256"/>
      <c r="K10" s="256">
        <v>7</v>
      </c>
      <c r="L10" s="256"/>
      <c r="M10" s="254">
        <v>1.5</v>
      </c>
      <c r="N10" s="254"/>
      <c r="O10" s="254"/>
      <c r="P10" s="156"/>
      <c r="S10" s="197"/>
      <c r="T10" s="197"/>
      <c r="U10" s="203"/>
      <c r="V10" s="202" t="s">
        <v>27</v>
      </c>
      <c r="W10" s="188"/>
    </row>
    <row r="11" spans="1:25" ht="40.15" customHeight="1">
      <c r="A11" s="259" t="s">
        <v>119</v>
      </c>
      <c r="B11" s="259"/>
      <c r="C11" s="256">
        <v>17000</v>
      </c>
      <c r="D11" s="256"/>
      <c r="E11" s="258">
        <f t="shared" ref="E11:E15" si="0">C11/CHOOSE($S$2,1,$G$5,$K$5,$N$5)</f>
        <v>17000</v>
      </c>
      <c r="F11" s="258"/>
      <c r="G11" s="256">
        <v>4</v>
      </c>
      <c r="H11" s="256"/>
      <c r="I11" s="256">
        <v>5</v>
      </c>
      <c r="J11" s="256"/>
      <c r="K11" s="256">
        <v>6</v>
      </c>
      <c r="L11" s="256"/>
      <c r="M11" s="254">
        <v>1.6153846153846154</v>
      </c>
      <c r="N11" s="254"/>
      <c r="O11" s="254"/>
      <c r="Q11" s="158"/>
      <c r="S11" s="198"/>
      <c r="T11" s="198"/>
      <c r="U11" s="198"/>
      <c r="V11" s="197" t="s">
        <v>28</v>
      </c>
      <c r="W11" s="188"/>
    </row>
    <row r="12" spans="1:25" s="147" customFormat="1" ht="40.15" customHeight="1">
      <c r="A12" s="259" t="s">
        <v>120</v>
      </c>
      <c r="B12" s="259"/>
      <c r="C12" s="256">
        <v>15000</v>
      </c>
      <c r="D12" s="256"/>
      <c r="E12" s="258">
        <f t="shared" si="0"/>
        <v>15000</v>
      </c>
      <c r="F12" s="258"/>
      <c r="G12" s="256">
        <v>1</v>
      </c>
      <c r="H12" s="256"/>
      <c r="I12" s="256">
        <v>1</v>
      </c>
      <c r="J12" s="256"/>
      <c r="K12" s="256">
        <v>2</v>
      </c>
      <c r="L12" s="256"/>
      <c r="M12" s="254">
        <v>1.5</v>
      </c>
      <c r="N12" s="254"/>
      <c r="O12" s="254"/>
      <c r="T12" s="189"/>
      <c r="U12" s="190"/>
      <c r="V12" s="197" t="s">
        <v>29</v>
      </c>
    </row>
    <row r="13" spans="1:25" ht="40.15" customHeight="1">
      <c r="A13" s="259" t="s">
        <v>121</v>
      </c>
      <c r="B13" s="259"/>
      <c r="C13" s="256">
        <v>45000</v>
      </c>
      <c r="D13" s="256"/>
      <c r="E13" s="258">
        <f t="shared" si="0"/>
        <v>45000</v>
      </c>
      <c r="F13" s="258"/>
      <c r="G13" s="256">
        <v>0</v>
      </c>
      <c r="H13" s="256"/>
      <c r="I13" s="256">
        <v>0</v>
      </c>
      <c r="J13" s="256"/>
      <c r="K13" s="256">
        <v>1</v>
      </c>
      <c r="L13" s="256"/>
      <c r="M13" s="254">
        <v>1.5</v>
      </c>
      <c r="N13" s="254"/>
      <c r="O13" s="254"/>
      <c r="T13" s="138"/>
      <c r="U13" s="139"/>
      <c r="V13" s="197" t="s">
        <v>30</v>
      </c>
    </row>
    <row r="14" spans="1:25" s="148" customFormat="1" ht="40.15" customHeight="1">
      <c r="A14" s="259" t="s">
        <v>122</v>
      </c>
      <c r="B14" s="259"/>
      <c r="C14" s="256">
        <v>80000</v>
      </c>
      <c r="D14" s="256"/>
      <c r="E14" s="258">
        <f t="shared" si="0"/>
        <v>80000</v>
      </c>
      <c r="F14" s="258"/>
      <c r="G14" s="256">
        <v>0</v>
      </c>
      <c r="H14" s="256"/>
      <c r="I14" s="256">
        <v>0</v>
      </c>
      <c r="J14" s="256"/>
      <c r="K14" s="256">
        <v>1</v>
      </c>
      <c r="L14" s="256"/>
      <c r="M14" s="254">
        <v>1.5</v>
      </c>
      <c r="N14" s="254"/>
      <c r="O14" s="254"/>
      <c r="P14" s="149"/>
      <c r="S14" s="149"/>
      <c r="T14" s="150"/>
      <c r="U14" s="151"/>
      <c r="W14" s="152"/>
    </row>
    <row r="15" spans="1:25" ht="40.15" customHeight="1">
      <c r="A15" s="259" t="s">
        <v>123</v>
      </c>
      <c r="B15" s="259"/>
      <c r="C15" s="256">
        <v>12000</v>
      </c>
      <c r="D15" s="256"/>
      <c r="E15" s="258">
        <f t="shared" si="0"/>
        <v>12000</v>
      </c>
      <c r="F15" s="258"/>
      <c r="G15" s="256">
        <v>2</v>
      </c>
      <c r="H15" s="256"/>
      <c r="I15" s="256">
        <v>2</v>
      </c>
      <c r="J15" s="256"/>
      <c r="K15" s="256">
        <v>2</v>
      </c>
      <c r="L15" s="256"/>
      <c r="M15" s="254">
        <v>1.1818181818181817</v>
      </c>
      <c r="N15" s="254"/>
      <c r="O15" s="254"/>
      <c r="P15" s="156"/>
      <c r="S15" s="139"/>
      <c r="T15" s="139"/>
      <c r="U15" s="157"/>
      <c r="V15" s="139"/>
      <c r="W15" s="188"/>
    </row>
    <row r="16" spans="1:25" s="211" customFormat="1" ht="45.6" customHeight="1">
      <c r="A16" s="261" t="s">
        <v>129</v>
      </c>
      <c r="B16" s="261"/>
      <c r="C16" s="261"/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U16" s="212"/>
      <c r="V16" s="213"/>
    </row>
    <row r="17" spans="1:19" customFormat="1" ht="47.1" customHeight="1" thickBot="1">
      <c r="A17" s="214" t="s">
        <v>130</v>
      </c>
      <c r="P17" s="215"/>
      <c r="Q17" s="216"/>
    </row>
    <row r="18" spans="1:19" s="217" customFormat="1" ht="42.95" customHeight="1">
      <c r="A18" s="240" t="s">
        <v>131</v>
      </c>
      <c r="B18" s="241"/>
      <c r="C18" s="241"/>
      <c r="D18" s="241"/>
      <c r="E18" s="241" t="s">
        <v>132</v>
      </c>
      <c r="F18" s="241"/>
      <c r="G18" s="241"/>
      <c r="H18" s="246"/>
      <c r="I18" s="247" t="s">
        <v>133</v>
      </c>
      <c r="J18" s="248"/>
      <c r="K18" s="248"/>
      <c r="L18" s="248" t="s">
        <v>134</v>
      </c>
      <c r="M18" s="248"/>
      <c r="N18" s="248"/>
      <c r="O18" s="251"/>
      <c r="P18" s="218"/>
      <c r="Q18" s="216"/>
      <c r="S18" s="219"/>
    </row>
    <row r="19" spans="1:19" s="217" customFormat="1" ht="35.1" customHeight="1">
      <c r="A19" s="242" t="str">
        <f>V2</f>
        <v>январь</v>
      </c>
      <c r="B19" s="243"/>
      <c r="C19" s="243"/>
      <c r="D19" s="243"/>
      <c r="E19" s="236">
        <v>1</v>
      </c>
      <c r="F19" s="236"/>
      <c r="G19" s="236"/>
      <c r="H19" s="237"/>
      <c r="I19" s="249">
        <v>1</v>
      </c>
      <c r="J19" s="243"/>
      <c r="K19" s="243"/>
      <c r="L19" s="236">
        <v>0.7</v>
      </c>
      <c r="M19" s="236"/>
      <c r="N19" s="236"/>
      <c r="O19" s="237"/>
      <c r="P19" s="218"/>
      <c r="Q19" s="220"/>
      <c r="S19" s="219"/>
    </row>
    <row r="20" spans="1:19" customFormat="1" ht="35.1" customHeight="1">
      <c r="A20" s="242" t="str">
        <f t="shared" ref="A20:A30" si="1">V3</f>
        <v>февраль</v>
      </c>
      <c r="B20" s="243"/>
      <c r="C20" s="243"/>
      <c r="D20" s="243"/>
      <c r="E20" s="236">
        <v>1</v>
      </c>
      <c r="F20" s="236"/>
      <c r="G20" s="236"/>
      <c r="H20" s="237"/>
      <c r="I20" s="249">
        <v>2</v>
      </c>
      <c r="J20" s="243"/>
      <c r="K20" s="243"/>
      <c r="L20" s="236">
        <v>0.8</v>
      </c>
      <c r="M20" s="236"/>
      <c r="N20" s="236"/>
      <c r="O20" s="237"/>
      <c r="P20" s="216"/>
      <c r="Q20" s="221"/>
      <c r="S20" s="221"/>
    </row>
    <row r="21" spans="1:19" customFormat="1" ht="35.1" customHeight="1">
      <c r="A21" s="242" t="str">
        <f t="shared" si="1"/>
        <v>март</v>
      </c>
      <c r="B21" s="243"/>
      <c r="C21" s="243"/>
      <c r="D21" s="243"/>
      <c r="E21" s="236">
        <v>1</v>
      </c>
      <c r="F21" s="236"/>
      <c r="G21" s="236"/>
      <c r="H21" s="237"/>
      <c r="I21" s="249">
        <v>3</v>
      </c>
      <c r="J21" s="243"/>
      <c r="K21" s="243"/>
      <c r="L21" s="236">
        <v>0.9</v>
      </c>
      <c r="M21" s="236"/>
      <c r="N21" s="236"/>
      <c r="O21" s="237"/>
    </row>
    <row r="22" spans="1:19" s="217" customFormat="1" ht="35.1" customHeight="1">
      <c r="A22" s="242" t="str">
        <f t="shared" si="1"/>
        <v>апрель</v>
      </c>
      <c r="B22" s="243"/>
      <c r="C22" s="243"/>
      <c r="D22" s="243"/>
      <c r="E22" s="236">
        <v>1</v>
      </c>
      <c r="F22" s="236"/>
      <c r="G22" s="236"/>
      <c r="H22" s="237"/>
      <c r="I22" s="249">
        <v>4</v>
      </c>
      <c r="J22" s="243"/>
      <c r="K22" s="243"/>
      <c r="L22" s="236">
        <v>1</v>
      </c>
      <c r="M22" s="236"/>
      <c r="N22" s="236"/>
      <c r="O22" s="237"/>
      <c r="P22" s="218"/>
      <c r="Q22" s="220"/>
      <c r="S22" s="219"/>
    </row>
    <row r="23" spans="1:19" customFormat="1" ht="35.1" customHeight="1">
      <c r="A23" s="242" t="str">
        <f t="shared" si="1"/>
        <v>май</v>
      </c>
      <c r="B23" s="243"/>
      <c r="C23" s="243"/>
      <c r="D23" s="243"/>
      <c r="E23" s="236">
        <v>1</v>
      </c>
      <c r="F23" s="236"/>
      <c r="G23" s="236"/>
      <c r="H23" s="237"/>
      <c r="I23" s="249">
        <v>5</v>
      </c>
      <c r="J23" s="243"/>
      <c r="K23" s="243"/>
      <c r="L23" s="236">
        <v>1</v>
      </c>
      <c r="M23" s="236"/>
      <c r="N23" s="236"/>
      <c r="O23" s="237"/>
      <c r="P23" s="216"/>
      <c r="Q23" s="221"/>
      <c r="S23" s="221"/>
    </row>
    <row r="24" spans="1:19" customFormat="1" ht="35.1" customHeight="1">
      <c r="A24" s="242" t="str">
        <f t="shared" si="1"/>
        <v>июнь</v>
      </c>
      <c r="B24" s="243"/>
      <c r="C24" s="243"/>
      <c r="D24" s="243"/>
      <c r="E24" s="236">
        <v>1</v>
      </c>
      <c r="F24" s="236"/>
      <c r="G24" s="236"/>
      <c r="H24" s="237"/>
      <c r="I24" s="249">
        <v>6</v>
      </c>
      <c r="J24" s="243"/>
      <c r="K24" s="243"/>
      <c r="L24" s="236">
        <v>1</v>
      </c>
      <c r="M24" s="236"/>
      <c r="N24" s="236"/>
      <c r="O24" s="237"/>
    </row>
    <row r="25" spans="1:19" s="217" customFormat="1" ht="35.1" customHeight="1">
      <c r="A25" s="242" t="str">
        <f t="shared" si="1"/>
        <v>июль</v>
      </c>
      <c r="B25" s="243"/>
      <c r="C25" s="243"/>
      <c r="D25" s="243"/>
      <c r="E25" s="236">
        <v>1</v>
      </c>
      <c r="F25" s="236"/>
      <c r="G25" s="236"/>
      <c r="H25" s="237"/>
      <c r="I25" s="249">
        <v>7</v>
      </c>
      <c r="J25" s="243"/>
      <c r="K25" s="243"/>
      <c r="L25" s="236">
        <v>1</v>
      </c>
      <c r="M25" s="236"/>
      <c r="N25" s="236"/>
      <c r="O25" s="237"/>
      <c r="P25" s="218"/>
      <c r="Q25" s="220"/>
      <c r="S25" s="219"/>
    </row>
    <row r="26" spans="1:19" customFormat="1" ht="35.1" customHeight="1">
      <c r="A26" s="242" t="str">
        <f t="shared" si="1"/>
        <v>август</v>
      </c>
      <c r="B26" s="243"/>
      <c r="C26" s="243"/>
      <c r="D26" s="243"/>
      <c r="E26" s="236">
        <v>1</v>
      </c>
      <c r="F26" s="236"/>
      <c r="G26" s="236"/>
      <c r="H26" s="237"/>
      <c r="I26" s="249">
        <v>8</v>
      </c>
      <c r="J26" s="243"/>
      <c r="K26" s="243"/>
      <c r="L26" s="236">
        <v>1</v>
      </c>
      <c r="M26" s="236"/>
      <c r="N26" s="236"/>
      <c r="O26" s="237"/>
      <c r="P26" s="216"/>
      <c r="Q26" s="221"/>
      <c r="S26" s="221"/>
    </row>
    <row r="27" spans="1:19" customFormat="1" ht="35.1" customHeight="1">
      <c r="A27" s="242" t="str">
        <f t="shared" si="1"/>
        <v>сентябрь</v>
      </c>
      <c r="B27" s="243"/>
      <c r="C27" s="243"/>
      <c r="D27" s="243"/>
      <c r="E27" s="236">
        <v>1</v>
      </c>
      <c r="F27" s="236"/>
      <c r="G27" s="236"/>
      <c r="H27" s="237"/>
      <c r="I27" s="249">
        <v>9</v>
      </c>
      <c r="J27" s="243"/>
      <c r="K27" s="243"/>
      <c r="L27" s="236">
        <v>1</v>
      </c>
      <c r="M27" s="236"/>
      <c r="N27" s="236"/>
      <c r="O27" s="237"/>
    </row>
    <row r="28" spans="1:19" s="217" customFormat="1" ht="35.1" customHeight="1">
      <c r="A28" s="242" t="str">
        <f t="shared" si="1"/>
        <v>октябрь</v>
      </c>
      <c r="B28" s="243"/>
      <c r="C28" s="243"/>
      <c r="D28" s="243"/>
      <c r="E28" s="236">
        <v>1</v>
      </c>
      <c r="F28" s="236"/>
      <c r="G28" s="236"/>
      <c r="H28" s="237"/>
      <c r="I28" s="249">
        <v>10</v>
      </c>
      <c r="J28" s="243"/>
      <c r="K28" s="243"/>
      <c r="L28" s="236">
        <v>1</v>
      </c>
      <c r="M28" s="236"/>
      <c r="N28" s="236"/>
      <c r="O28" s="237"/>
      <c r="P28" s="218"/>
      <c r="Q28" s="220"/>
      <c r="S28" s="219"/>
    </row>
    <row r="29" spans="1:19" customFormat="1" ht="35.1" customHeight="1">
      <c r="A29" s="242" t="str">
        <f t="shared" si="1"/>
        <v>ноябрь</v>
      </c>
      <c r="B29" s="243"/>
      <c r="C29" s="243"/>
      <c r="D29" s="243"/>
      <c r="E29" s="236">
        <v>1</v>
      </c>
      <c r="F29" s="236"/>
      <c r="G29" s="236"/>
      <c r="H29" s="237"/>
      <c r="I29" s="249">
        <v>11</v>
      </c>
      <c r="J29" s="243"/>
      <c r="K29" s="243"/>
      <c r="L29" s="236">
        <v>1</v>
      </c>
      <c r="M29" s="236"/>
      <c r="N29" s="236"/>
      <c r="O29" s="237"/>
      <c r="P29" s="216"/>
      <c r="Q29" s="221"/>
      <c r="S29" s="221"/>
    </row>
    <row r="30" spans="1:19" customFormat="1" ht="35.1" customHeight="1" thickBot="1">
      <c r="A30" s="244" t="str">
        <f t="shared" si="1"/>
        <v>декабрь</v>
      </c>
      <c r="B30" s="245"/>
      <c r="C30" s="245"/>
      <c r="D30" s="245"/>
      <c r="E30" s="238">
        <v>1</v>
      </c>
      <c r="F30" s="238"/>
      <c r="G30" s="238"/>
      <c r="H30" s="239"/>
      <c r="I30" s="250">
        <v>12</v>
      </c>
      <c r="J30" s="245"/>
      <c r="K30" s="245"/>
      <c r="L30" s="238">
        <v>1</v>
      </c>
      <c r="M30" s="238"/>
      <c r="N30" s="238"/>
      <c r="O30" s="239"/>
    </row>
    <row r="31" spans="1:19" customFormat="1" ht="16.899999999999999" customHeight="1">
      <c r="A31" s="252"/>
      <c r="B31" s="252"/>
      <c r="C31" s="252"/>
      <c r="D31" s="252"/>
      <c r="E31" s="252"/>
      <c r="F31" s="252"/>
      <c r="G31" s="252"/>
      <c r="H31" s="252"/>
      <c r="I31" s="252"/>
      <c r="J31" s="252"/>
      <c r="K31" s="252"/>
      <c r="P31" s="215"/>
      <c r="Q31" s="216"/>
    </row>
    <row r="32" spans="1:19" ht="52.9" customHeight="1">
      <c r="A32" s="146" t="s">
        <v>115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</row>
    <row r="33" spans="1:32" ht="80.45" customHeight="1">
      <c r="A33" s="316"/>
      <c r="B33" s="317"/>
      <c r="C33" s="162" t="s">
        <v>136</v>
      </c>
      <c r="D33" s="320" t="s">
        <v>137</v>
      </c>
      <c r="E33" s="322"/>
      <c r="F33" s="257" t="s">
        <v>138</v>
      </c>
      <c r="G33" s="257"/>
      <c r="H33" s="257" t="s">
        <v>139</v>
      </c>
      <c r="I33" s="257"/>
      <c r="J33" s="257" t="s">
        <v>140</v>
      </c>
      <c r="K33" s="257"/>
      <c r="L33" s="257" t="s">
        <v>141</v>
      </c>
      <c r="M33" s="257"/>
      <c r="N33" s="257" t="s">
        <v>92</v>
      </c>
      <c r="O33" s="257"/>
      <c r="U33" s="138"/>
      <c r="V33" s="139"/>
    </row>
    <row r="34" spans="1:32" ht="43.9" customHeight="1">
      <c r="A34" s="318" t="s">
        <v>32</v>
      </c>
      <c r="B34" s="319"/>
      <c r="C34" s="5">
        <v>1.2</v>
      </c>
      <c r="D34" s="262">
        <v>1.2</v>
      </c>
      <c r="E34" s="263"/>
      <c r="F34" s="236">
        <v>1</v>
      </c>
      <c r="G34" s="236"/>
      <c r="H34" s="236">
        <v>1</v>
      </c>
      <c r="I34" s="236"/>
      <c r="J34" s="236">
        <v>1</v>
      </c>
      <c r="K34" s="236"/>
      <c r="L34" s="236">
        <v>1</v>
      </c>
      <c r="M34" s="236"/>
      <c r="N34" s="236">
        <v>0.1</v>
      </c>
      <c r="O34" s="236"/>
      <c r="R34" s="158"/>
    </row>
    <row r="35" spans="1:32" ht="43.9" customHeight="1">
      <c r="A35" s="318" t="s">
        <v>34</v>
      </c>
      <c r="B35" s="319"/>
      <c r="C35" s="5">
        <v>1.4</v>
      </c>
      <c r="D35" s="262">
        <v>1.4</v>
      </c>
      <c r="E35" s="263"/>
      <c r="F35" s="236">
        <v>1</v>
      </c>
      <c r="G35" s="236"/>
      <c r="H35" s="236">
        <v>1</v>
      </c>
      <c r="I35" s="236"/>
      <c r="J35" s="236">
        <v>1</v>
      </c>
      <c r="K35" s="236"/>
      <c r="L35" s="236">
        <v>1</v>
      </c>
      <c r="M35" s="236"/>
      <c r="N35" s="236"/>
      <c r="O35" s="236"/>
      <c r="R35" s="158"/>
    </row>
    <row r="36" spans="1:32" ht="45.6" customHeight="1">
      <c r="A36" s="293" t="s">
        <v>135</v>
      </c>
      <c r="B36" s="293"/>
      <c r="C36" s="293"/>
      <c r="D36" s="293"/>
      <c r="E36" s="293"/>
      <c r="F36" s="293"/>
      <c r="G36" s="293"/>
      <c r="H36" s="293"/>
      <c r="I36" s="293"/>
      <c r="J36" s="293"/>
      <c r="K36" s="293"/>
      <c r="L36" s="293"/>
      <c r="M36" s="293"/>
      <c r="N36" s="293"/>
      <c r="O36" s="293"/>
      <c r="U36" s="138"/>
      <c r="V36" s="139"/>
    </row>
    <row r="37" spans="1:32" ht="34.15" customHeight="1">
      <c r="A37" s="160" t="s">
        <v>54</v>
      </c>
      <c r="K37" s="161"/>
      <c r="L37" s="161"/>
      <c r="M37" s="161"/>
      <c r="N37" s="161"/>
    </row>
    <row r="38" spans="1:32" ht="34.15" customHeight="1">
      <c r="A38" s="160"/>
      <c r="E38" s="253" t="str">
        <f>A37</f>
        <v>Инвестиции в открытие</v>
      </c>
      <c r="F38" s="253"/>
      <c r="G38" s="253"/>
      <c r="H38" s="253"/>
      <c r="I38" s="253"/>
      <c r="J38" s="253"/>
      <c r="K38" s="253"/>
      <c r="L38" s="253"/>
      <c r="M38" s="253"/>
      <c r="N38" s="253"/>
      <c r="O38" s="253"/>
    </row>
    <row r="39" spans="1:32" ht="44.45" customHeight="1">
      <c r="E39" s="320" t="s">
        <v>64</v>
      </c>
      <c r="F39" s="321"/>
      <c r="G39" s="321"/>
      <c r="H39" s="321"/>
      <c r="I39" s="321"/>
      <c r="J39" s="322"/>
      <c r="K39" s="257" t="str">
        <f>"В валюте, в которой производиться расчет, "&amp;CHOOSE($S$2,$T$2,$T$3,$T$4,$T$5)&amp;""</f>
        <v>В валюте, в которой производиться расчет, RUB</v>
      </c>
      <c r="L39" s="257"/>
      <c r="M39" s="257"/>
      <c r="N39" s="257"/>
      <c r="O39" s="257"/>
      <c r="P39" s="163"/>
      <c r="Q39" s="163"/>
      <c r="T39" s="164"/>
      <c r="U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</row>
    <row r="40" spans="1:32" ht="42" customHeight="1">
      <c r="A40" s="163"/>
      <c r="B40" s="288" t="s">
        <v>42</v>
      </c>
      <c r="C40" s="288"/>
      <c r="D40" s="289"/>
      <c r="E40" s="264">
        <v>30000</v>
      </c>
      <c r="F40" s="265"/>
      <c r="G40" s="265"/>
      <c r="H40" s="265"/>
      <c r="I40" s="265"/>
      <c r="J40" s="266"/>
      <c r="K40" s="270">
        <f>E40/CHOOSE($S$2,1,$G$5,$K$5,$N$5)</f>
        <v>30000</v>
      </c>
      <c r="L40" s="270"/>
      <c r="M40" s="270"/>
      <c r="N40" s="270"/>
      <c r="O40" s="270"/>
      <c r="P40" s="165"/>
      <c r="S40" s="164"/>
      <c r="T40" s="164"/>
      <c r="U40" s="164"/>
      <c r="W40" s="164"/>
      <c r="X40" s="164"/>
      <c r="Y40" s="164"/>
      <c r="Z40" s="164"/>
      <c r="AA40" s="164"/>
      <c r="AB40" s="164"/>
      <c r="AC40" s="164"/>
      <c r="AD40" s="164"/>
      <c r="AE40" s="164"/>
    </row>
    <row r="41" spans="1:32" ht="42" customHeight="1">
      <c r="A41" s="163"/>
      <c r="B41" s="294" t="s">
        <v>81</v>
      </c>
      <c r="C41" s="294"/>
      <c r="D41" s="295"/>
      <c r="E41" s="264">
        <v>25000</v>
      </c>
      <c r="F41" s="265"/>
      <c r="G41" s="265"/>
      <c r="H41" s="265"/>
      <c r="I41" s="265"/>
      <c r="J41" s="266"/>
      <c r="K41" s="270">
        <f t="shared" ref="K41:K49" si="2">E41/CHOOSE($S$2,1,$G$5,$K$5,$N$5)</f>
        <v>25000</v>
      </c>
      <c r="L41" s="270"/>
      <c r="M41" s="270"/>
      <c r="N41" s="270"/>
      <c r="O41" s="270"/>
      <c r="P41" s="165"/>
      <c r="S41" s="164"/>
      <c r="T41" s="164"/>
      <c r="U41" s="164"/>
      <c r="W41" s="164"/>
      <c r="X41" s="164"/>
      <c r="Y41" s="164"/>
      <c r="Z41" s="164"/>
      <c r="AA41" s="164"/>
      <c r="AB41" s="164"/>
      <c r="AC41" s="164"/>
      <c r="AD41" s="164"/>
      <c r="AE41" s="164"/>
    </row>
    <row r="42" spans="1:32" ht="42" customHeight="1">
      <c r="A42" s="163"/>
      <c r="B42" s="294" t="s">
        <v>88</v>
      </c>
      <c r="C42" s="294"/>
      <c r="D42" s="295"/>
      <c r="E42" s="264">
        <v>8000</v>
      </c>
      <c r="F42" s="265"/>
      <c r="G42" s="265"/>
      <c r="H42" s="265"/>
      <c r="I42" s="265"/>
      <c r="J42" s="266"/>
      <c r="K42" s="270">
        <f t="shared" si="2"/>
        <v>8000</v>
      </c>
      <c r="L42" s="270"/>
      <c r="M42" s="270"/>
      <c r="N42" s="270"/>
      <c r="O42" s="270"/>
      <c r="P42" s="165"/>
      <c r="S42" s="164"/>
      <c r="T42" s="164"/>
      <c r="U42" s="164"/>
      <c r="W42" s="164"/>
      <c r="X42" s="164"/>
      <c r="Y42" s="164"/>
      <c r="Z42" s="164"/>
      <c r="AA42" s="164"/>
      <c r="AB42" s="164"/>
      <c r="AC42" s="164"/>
      <c r="AD42" s="164"/>
      <c r="AE42" s="164"/>
    </row>
    <row r="43" spans="1:32" ht="42" customHeight="1">
      <c r="A43" s="163"/>
      <c r="B43" s="294" t="s">
        <v>86</v>
      </c>
      <c r="C43" s="294"/>
      <c r="D43" s="295"/>
      <c r="E43" s="264">
        <v>15000</v>
      </c>
      <c r="F43" s="265"/>
      <c r="G43" s="265"/>
      <c r="H43" s="265"/>
      <c r="I43" s="265"/>
      <c r="J43" s="266"/>
      <c r="K43" s="270">
        <f t="shared" si="2"/>
        <v>15000</v>
      </c>
      <c r="L43" s="270"/>
      <c r="M43" s="270"/>
      <c r="N43" s="270"/>
      <c r="O43" s="270"/>
      <c r="P43" s="165"/>
      <c r="S43" s="164"/>
      <c r="T43" s="164"/>
      <c r="U43" s="164"/>
      <c r="W43" s="164"/>
      <c r="X43" s="164"/>
      <c r="Y43" s="164"/>
      <c r="Z43" s="164"/>
      <c r="AA43" s="164"/>
      <c r="AB43" s="164"/>
      <c r="AC43" s="164"/>
      <c r="AD43" s="164"/>
      <c r="AE43" s="164"/>
    </row>
    <row r="44" spans="1:32" ht="42" customHeight="1">
      <c r="A44" s="163"/>
      <c r="B44" s="288" t="s">
        <v>93</v>
      </c>
      <c r="C44" s="288"/>
      <c r="D44" s="289"/>
      <c r="E44" s="264">
        <v>100000</v>
      </c>
      <c r="F44" s="265"/>
      <c r="G44" s="265"/>
      <c r="H44" s="265"/>
      <c r="I44" s="265"/>
      <c r="J44" s="266"/>
      <c r="K44" s="270">
        <f t="shared" si="2"/>
        <v>100000</v>
      </c>
      <c r="L44" s="270"/>
      <c r="M44" s="270"/>
      <c r="N44" s="270"/>
      <c r="O44" s="270"/>
      <c r="P44" s="165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</row>
    <row r="45" spans="1:32" ht="42" customHeight="1">
      <c r="A45" s="166"/>
      <c r="B45" s="288" t="s">
        <v>55</v>
      </c>
      <c r="C45" s="288"/>
      <c r="D45" s="289"/>
      <c r="E45" s="264">
        <v>0</v>
      </c>
      <c r="F45" s="265"/>
      <c r="G45" s="265"/>
      <c r="H45" s="265"/>
      <c r="I45" s="265"/>
      <c r="J45" s="266"/>
      <c r="K45" s="270">
        <f t="shared" si="2"/>
        <v>0</v>
      </c>
      <c r="L45" s="270"/>
      <c r="M45" s="270"/>
      <c r="N45" s="270"/>
      <c r="O45" s="270"/>
      <c r="P45" s="165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</row>
    <row r="46" spans="1:32" ht="42" customHeight="1">
      <c r="A46" s="166"/>
      <c r="B46" s="288" t="s">
        <v>53</v>
      </c>
      <c r="C46" s="288"/>
      <c r="D46" s="289"/>
      <c r="E46" s="264">
        <v>0</v>
      </c>
      <c r="F46" s="265"/>
      <c r="G46" s="265"/>
      <c r="H46" s="265"/>
      <c r="I46" s="265"/>
      <c r="J46" s="266"/>
      <c r="K46" s="270">
        <f t="shared" si="2"/>
        <v>0</v>
      </c>
      <c r="L46" s="270"/>
      <c r="M46" s="270"/>
      <c r="N46" s="270"/>
      <c r="O46" s="270"/>
      <c r="P46" s="165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</row>
    <row r="47" spans="1:32" ht="42" customHeight="1">
      <c r="A47" s="163"/>
      <c r="B47" s="288" t="s">
        <v>65</v>
      </c>
      <c r="C47" s="288"/>
      <c r="D47" s="289"/>
      <c r="E47" s="264">
        <v>50000</v>
      </c>
      <c r="F47" s="265"/>
      <c r="G47" s="265"/>
      <c r="H47" s="265"/>
      <c r="I47" s="265"/>
      <c r="J47" s="266"/>
      <c r="K47" s="270">
        <f t="shared" si="2"/>
        <v>50000</v>
      </c>
      <c r="L47" s="270"/>
      <c r="M47" s="270"/>
      <c r="N47" s="270"/>
      <c r="O47" s="270"/>
      <c r="P47" s="165"/>
      <c r="S47" s="164"/>
      <c r="T47" s="164"/>
      <c r="U47" s="164"/>
      <c r="W47" s="164"/>
      <c r="X47" s="164"/>
      <c r="Y47" s="164"/>
      <c r="Z47" s="164"/>
      <c r="AA47" s="164"/>
      <c r="AB47" s="164"/>
      <c r="AC47" s="164"/>
      <c r="AD47" s="164"/>
      <c r="AE47" s="164"/>
    </row>
    <row r="48" spans="1:32" ht="42" customHeight="1">
      <c r="A48" s="163"/>
      <c r="B48" s="288" t="s">
        <v>94</v>
      </c>
      <c r="C48" s="288"/>
      <c r="D48" s="289"/>
      <c r="E48" s="264">
        <v>200000</v>
      </c>
      <c r="F48" s="265"/>
      <c r="G48" s="265"/>
      <c r="H48" s="265"/>
      <c r="I48" s="265"/>
      <c r="J48" s="266"/>
      <c r="K48" s="270">
        <f t="shared" si="2"/>
        <v>200000</v>
      </c>
      <c r="L48" s="270"/>
      <c r="M48" s="270"/>
      <c r="N48" s="270"/>
      <c r="O48" s="270"/>
      <c r="P48" s="165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</row>
    <row r="49" spans="1:31" ht="42" customHeight="1">
      <c r="A49" s="163"/>
      <c r="B49" s="288" t="s">
        <v>2</v>
      </c>
      <c r="C49" s="288"/>
      <c r="D49" s="289"/>
      <c r="E49" s="264">
        <v>10000</v>
      </c>
      <c r="F49" s="265"/>
      <c r="G49" s="265"/>
      <c r="H49" s="265"/>
      <c r="I49" s="265"/>
      <c r="J49" s="266"/>
      <c r="K49" s="270">
        <f t="shared" si="2"/>
        <v>10000</v>
      </c>
      <c r="L49" s="270"/>
      <c r="M49" s="270"/>
      <c r="N49" s="270"/>
      <c r="O49" s="270"/>
      <c r="P49" s="165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</row>
    <row r="50" spans="1:31" ht="42" customHeight="1">
      <c r="A50" s="163"/>
      <c r="B50" s="314" t="s">
        <v>0</v>
      </c>
      <c r="C50" s="314"/>
      <c r="D50" s="315"/>
      <c r="E50" s="267">
        <f>SUM(E40:J49)</f>
        <v>438000</v>
      </c>
      <c r="F50" s="268"/>
      <c r="G50" s="268"/>
      <c r="H50" s="268"/>
      <c r="I50" s="268"/>
      <c r="J50" s="269"/>
      <c r="K50" s="298">
        <f>SUM(K40:O49)</f>
        <v>438000</v>
      </c>
      <c r="L50" s="298"/>
      <c r="M50" s="298"/>
      <c r="N50" s="298"/>
      <c r="O50" s="298"/>
      <c r="P50" s="165"/>
      <c r="Q50" s="167"/>
      <c r="S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</row>
    <row r="51" spans="1:31" ht="34.15" customHeight="1">
      <c r="A51" s="293"/>
      <c r="B51" s="293"/>
      <c r="C51" s="293"/>
      <c r="D51" s="293"/>
      <c r="E51" s="293"/>
      <c r="F51" s="293"/>
      <c r="G51" s="293"/>
      <c r="H51" s="293"/>
      <c r="I51" s="293"/>
      <c r="J51" s="293"/>
      <c r="K51" s="293"/>
      <c r="L51" s="293"/>
      <c r="M51" s="293"/>
      <c r="N51" s="293"/>
      <c r="O51" s="293"/>
      <c r="P51" s="165"/>
      <c r="S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</row>
    <row r="52" spans="1:31" ht="34.15" customHeight="1">
      <c r="A52" s="191" t="s">
        <v>66</v>
      </c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65"/>
      <c r="S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</row>
    <row r="53" spans="1:31" ht="34.15" customHeight="1">
      <c r="A53" s="307" t="s">
        <v>67</v>
      </c>
      <c r="B53" s="307"/>
      <c r="C53" s="307"/>
      <c r="D53" s="307" t="s">
        <v>68</v>
      </c>
      <c r="E53" s="275" t="s">
        <v>78</v>
      </c>
      <c r="F53" s="276"/>
      <c r="G53" s="276"/>
      <c r="H53" s="276"/>
      <c r="I53" s="276"/>
      <c r="J53" s="277"/>
      <c r="K53" s="307" t="s">
        <v>82</v>
      </c>
      <c r="L53" s="307"/>
      <c r="M53" s="307"/>
      <c r="N53" s="281" t="s">
        <v>83</v>
      </c>
      <c r="O53" s="282"/>
      <c r="P53" s="165"/>
      <c r="S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</row>
    <row r="54" spans="1:31" ht="44.1" customHeight="1">
      <c r="A54" s="307"/>
      <c r="B54" s="307"/>
      <c r="C54" s="307"/>
      <c r="D54" s="307"/>
      <c r="E54" s="307" t="s">
        <v>109</v>
      </c>
      <c r="F54" s="307"/>
      <c r="G54" s="307"/>
      <c r="H54" s="275" t="str">
        <f>"В валюте, в которой производиться расчет, "&amp;CHOOSE($S$2,$T$2,$T$3,$T$4,$T$5)&amp;"/мес."</f>
        <v>В валюте, в которой производиться расчет, RUB/мес.</v>
      </c>
      <c r="I54" s="276"/>
      <c r="J54" s="277"/>
      <c r="K54" s="307"/>
      <c r="L54" s="307"/>
      <c r="M54" s="307"/>
      <c r="N54" s="283"/>
      <c r="O54" s="284"/>
      <c r="P54" s="165"/>
      <c r="S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</row>
    <row r="55" spans="1:31" s="148" customFormat="1" ht="39.950000000000003" customHeight="1">
      <c r="A55" s="299" t="s">
        <v>95</v>
      </c>
      <c r="B55" s="299"/>
      <c r="C55" s="299"/>
      <c r="D55" s="210">
        <v>1</v>
      </c>
      <c r="E55" s="300">
        <v>25000</v>
      </c>
      <c r="F55" s="300"/>
      <c r="G55" s="300"/>
      <c r="H55" s="278">
        <f>E55/CHOOSE($S$2,1,$G$5,$K$5,$N$5)</f>
        <v>25000</v>
      </c>
      <c r="I55" s="279"/>
      <c r="J55" s="280"/>
      <c r="K55" s="301">
        <v>0</v>
      </c>
      <c r="L55" s="301"/>
      <c r="M55" s="301"/>
      <c r="N55" s="271" t="s">
        <v>72</v>
      </c>
      <c r="O55" s="272"/>
      <c r="P55" s="165"/>
      <c r="R55" s="193"/>
      <c r="S55" s="194"/>
      <c r="U55" s="194"/>
      <c r="V55" s="194"/>
      <c r="W55" s="194"/>
      <c r="X55" s="194"/>
      <c r="Y55" s="194"/>
      <c r="Z55" s="194"/>
      <c r="AA55" s="194"/>
      <c r="AB55" s="194"/>
      <c r="AC55" s="194"/>
      <c r="AD55" s="194"/>
      <c r="AE55" s="194"/>
    </row>
    <row r="56" spans="1:31" s="148" customFormat="1" ht="39.950000000000003" customHeight="1">
      <c r="A56" s="304" t="s">
        <v>84</v>
      </c>
      <c r="B56" s="304"/>
      <c r="C56" s="304"/>
      <c r="D56" s="4"/>
      <c r="E56" s="309"/>
      <c r="F56" s="309"/>
      <c r="G56" s="309"/>
      <c r="H56" s="278">
        <f>E56/CHOOSE($S$2,1,$G$5,$K$5,$N$5)</f>
        <v>0</v>
      </c>
      <c r="I56" s="279"/>
      <c r="J56" s="280"/>
      <c r="K56" s="308"/>
      <c r="L56" s="308"/>
      <c r="M56" s="308"/>
      <c r="N56" s="273"/>
      <c r="O56" s="274"/>
      <c r="P56" s="165"/>
      <c r="R56" s="193"/>
      <c r="S56" s="194"/>
      <c r="U56" s="194"/>
      <c r="V56" s="194"/>
      <c r="W56" s="194"/>
      <c r="X56" s="194"/>
      <c r="Y56" s="194"/>
      <c r="Z56" s="194"/>
      <c r="AA56" s="194"/>
      <c r="AB56" s="194"/>
      <c r="AC56" s="194"/>
      <c r="AD56" s="194"/>
      <c r="AE56" s="194"/>
    </row>
    <row r="57" spans="1:31" s="148" customFormat="1" ht="39.950000000000003" customHeight="1">
      <c r="A57" s="299" t="s">
        <v>144</v>
      </c>
      <c r="B57" s="299"/>
      <c r="C57" s="299"/>
      <c r="D57" s="3">
        <v>1</v>
      </c>
      <c r="E57" s="300">
        <v>25000</v>
      </c>
      <c r="F57" s="300"/>
      <c r="G57" s="300"/>
      <c r="H57" s="278">
        <f t="shared" ref="H57:H59" si="3">E57/CHOOSE($S$2,1,$G$5,$K$5,$N$5)</f>
        <v>25000</v>
      </c>
      <c r="I57" s="279"/>
      <c r="J57" s="280"/>
      <c r="K57" s="301">
        <v>0</v>
      </c>
      <c r="L57" s="301"/>
      <c r="M57" s="301"/>
      <c r="N57" s="271" t="s">
        <v>72</v>
      </c>
      <c r="O57" s="272"/>
      <c r="P57" s="165"/>
      <c r="R57" s="193"/>
      <c r="S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194"/>
      <c r="AE57" s="194"/>
    </row>
    <row r="58" spans="1:31" s="148" customFormat="1" ht="39.950000000000003" customHeight="1">
      <c r="A58" s="299" t="s">
        <v>145</v>
      </c>
      <c r="B58" s="299"/>
      <c r="C58" s="299"/>
      <c r="D58" s="3">
        <v>1</v>
      </c>
      <c r="E58" s="300">
        <v>25000</v>
      </c>
      <c r="F58" s="300"/>
      <c r="G58" s="300"/>
      <c r="H58" s="278">
        <f t="shared" si="3"/>
        <v>25000</v>
      </c>
      <c r="I58" s="279"/>
      <c r="J58" s="280"/>
      <c r="K58" s="301">
        <v>0</v>
      </c>
      <c r="L58" s="301"/>
      <c r="M58" s="301"/>
      <c r="N58" s="271" t="s">
        <v>72</v>
      </c>
      <c r="O58" s="272"/>
      <c r="P58" s="165"/>
      <c r="R58" s="193"/>
      <c r="S58" s="194"/>
      <c r="U58" s="194"/>
      <c r="V58" s="194"/>
      <c r="W58" s="194"/>
      <c r="X58" s="194"/>
      <c r="Y58" s="194"/>
      <c r="Z58" s="194"/>
      <c r="AA58" s="194"/>
      <c r="AB58" s="194"/>
      <c r="AC58" s="194"/>
      <c r="AD58" s="194"/>
      <c r="AE58" s="194"/>
    </row>
    <row r="59" spans="1:31" s="148" customFormat="1" ht="39.950000000000003" customHeight="1">
      <c r="A59" s="299"/>
      <c r="B59" s="299"/>
      <c r="C59" s="299"/>
      <c r="D59" s="4"/>
      <c r="E59" s="309"/>
      <c r="F59" s="309"/>
      <c r="G59" s="309"/>
      <c r="H59" s="278">
        <f t="shared" si="3"/>
        <v>0</v>
      </c>
      <c r="I59" s="279"/>
      <c r="J59" s="280"/>
      <c r="K59" s="301">
        <v>0</v>
      </c>
      <c r="L59" s="301"/>
      <c r="M59" s="301"/>
      <c r="N59" s="271" t="s">
        <v>72</v>
      </c>
      <c r="O59" s="272"/>
      <c r="P59" s="165"/>
      <c r="R59" s="193"/>
      <c r="S59" s="194"/>
      <c r="U59" s="194"/>
      <c r="V59" s="194"/>
      <c r="W59" s="194"/>
      <c r="X59" s="194"/>
      <c r="Y59" s="194"/>
      <c r="Z59" s="194"/>
      <c r="AA59" s="194"/>
      <c r="AB59" s="194"/>
      <c r="AC59" s="194"/>
      <c r="AD59" s="194"/>
      <c r="AE59" s="194"/>
    </row>
    <row r="60" spans="1:31" s="148" customFormat="1" ht="42" customHeight="1">
      <c r="A60" s="293"/>
      <c r="B60" s="293"/>
      <c r="C60" s="293"/>
      <c r="D60" s="293"/>
      <c r="E60" s="293"/>
      <c r="F60" s="293"/>
      <c r="G60" s="293"/>
      <c r="H60" s="293"/>
      <c r="I60" s="293"/>
      <c r="J60" s="293"/>
      <c r="K60" s="293"/>
      <c r="L60" s="293"/>
      <c r="M60" s="293"/>
      <c r="N60" s="293"/>
      <c r="O60" s="293"/>
      <c r="P60" s="165"/>
      <c r="R60" s="193"/>
      <c r="S60" s="194"/>
      <c r="U60" s="194"/>
      <c r="V60" s="194"/>
      <c r="W60" s="194"/>
      <c r="X60" s="194"/>
      <c r="Y60" s="194"/>
      <c r="Z60" s="194"/>
      <c r="AA60" s="194"/>
      <c r="AB60" s="194"/>
      <c r="AC60" s="194"/>
      <c r="AD60" s="194"/>
      <c r="AE60" s="194"/>
    </row>
    <row r="61" spans="1:31" ht="42" customHeight="1">
      <c r="A61" s="146" t="s">
        <v>1</v>
      </c>
      <c r="D61" s="168"/>
      <c r="E61" s="168"/>
      <c r="F61" s="168"/>
      <c r="K61" s="287"/>
      <c r="L61" s="287"/>
      <c r="M61" s="287"/>
      <c r="N61" s="287"/>
      <c r="O61" s="287"/>
    </row>
    <row r="62" spans="1:31" ht="42" customHeight="1">
      <c r="E62" s="297" t="s">
        <v>99</v>
      </c>
      <c r="F62" s="297"/>
      <c r="G62" s="297"/>
      <c r="H62" s="297"/>
      <c r="I62" s="297"/>
      <c r="J62" s="297"/>
      <c r="K62" s="297"/>
      <c r="L62" s="297"/>
      <c r="M62" s="297"/>
      <c r="N62" s="297"/>
      <c r="O62" s="297"/>
    </row>
    <row r="63" spans="1:31" ht="46.9" customHeight="1">
      <c r="A63" s="146"/>
      <c r="E63" s="296" t="s">
        <v>147</v>
      </c>
      <c r="F63" s="296"/>
      <c r="G63" s="296"/>
      <c r="H63" s="296"/>
      <c r="I63" s="296"/>
      <c r="J63" s="323" t="str">
        <f>"В валюте, в которой производиться расчет, "&amp;CHOOSE($S$2,$T$2,$T$3,$T$4,$T$5)&amp;"/мес."</f>
        <v>В валюте, в которой производиться расчет, RUB/мес.</v>
      </c>
      <c r="K63" s="324"/>
      <c r="L63" s="324"/>
      <c r="M63" s="324"/>
      <c r="N63" s="324"/>
      <c r="O63" s="325"/>
    </row>
    <row r="64" spans="1:31" ht="42.95" customHeight="1">
      <c r="A64" s="171"/>
      <c r="B64" s="294" t="s">
        <v>146</v>
      </c>
      <c r="C64" s="294"/>
      <c r="D64" s="295"/>
      <c r="E64" s="234">
        <v>10000</v>
      </c>
      <c r="F64" s="234"/>
      <c r="G64" s="234"/>
      <c r="H64" s="234"/>
      <c r="I64" s="234"/>
      <c r="J64" s="230">
        <f t="shared" ref="J64" si="4">E64/CHOOSE($S$2,1,$G$5,$K$5,$N$5)</f>
        <v>10000</v>
      </c>
      <c r="K64" s="231"/>
      <c r="L64" s="231"/>
      <c r="M64" s="231"/>
      <c r="N64" s="231"/>
      <c r="O64" s="232"/>
    </row>
    <row r="65" spans="1:32" ht="42.95" customHeight="1">
      <c r="A65" s="147"/>
      <c r="B65" s="294" t="s">
        <v>90</v>
      </c>
      <c r="C65" s="294"/>
      <c r="D65" s="295"/>
      <c r="E65" s="234">
        <v>4000</v>
      </c>
      <c r="F65" s="234"/>
      <c r="G65" s="234"/>
      <c r="H65" s="234"/>
      <c r="I65" s="234"/>
      <c r="J65" s="230">
        <f t="shared" ref="J65" si="5">E65/CHOOSE($S$2,1,$G$5,$K$5,$N$5)</f>
        <v>4000</v>
      </c>
      <c r="K65" s="231"/>
      <c r="L65" s="231"/>
      <c r="M65" s="231"/>
      <c r="N65" s="231"/>
      <c r="O65" s="232"/>
    </row>
    <row r="66" spans="1:32" s="147" customFormat="1" ht="42.95" customHeight="1">
      <c r="A66" s="163"/>
      <c r="B66" s="285" t="s">
        <v>56</v>
      </c>
      <c r="C66" s="285"/>
      <c r="D66" s="286"/>
      <c r="E66" s="234">
        <v>12500</v>
      </c>
      <c r="F66" s="234"/>
      <c r="G66" s="234"/>
      <c r="H66" s="234"/>
      <c r="I66" s="234"/>
      <c r="J66" s="230">
        <f t="shared" ref="J66:J75" si="6">E66/CHOOSE($S$2,1,$G$5,$K$5,$N$5)</f>
        <v>12500</v>
      </c>
      <c r="K66" s="231"/>
      <c r="L66" s="231"/>
      <c r="M66" s="231"/>
      <c r="N66" s="231"/>
      <c r="O66" s="232"/>
      <c r="P66" s="165"/>
      <c r="S66" s="195"/>
      <c r="T66" s="195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</row>
    <row r="67" spans="1:32" ht="42.95" customHeight="1">
      <c r="A67" s="163"/>
      <c r="B67" s="285" t="s">
        <v>57</v>
      </c>
      <c r="C67" s="285"/>
      <c r="D67" s="286"/>
      <c r="E67" s="234">
        <v>2500</v>
      </c>
      <c r="F67" s="234"/>
      <c r="G67" s="234"/>
      <c r="H67" s="234"/>
      <c r="I67" s="234"/>
      <c r="J67" s="230">
        <f t="shared" si="6"/>
        <v>2500</v>
      </c>
      <c r="K67" s="231"/>
      <c r="L67" s="231"/>
      <c r="M67" s="231"/>
      <c r="N67" s="231"/>
      <c r="O67" s="232"/>
      <c r="Q67" s="148"/>
    </row>
    <row r="68" spans="1:32" ht="42.95" customHeight="1">
      <c r="A68" s="147"/>
      <c r="B68" s="288" t="s">
        <v>48</v>
      </c>
      <c r="C68" s="288"/>
      <c r="D68" s="289"/>
      <c r="E68" s="234">
        <v>1000</v>
      </c>
      <c r="F68" s="234"/>
      <c r="G68" s="234"/>
      <c r="H68" s="234"/>
      <c r="I68" s="234"/>
      <c r="J68" s="230">
        <f t="shared" si="6"/>
        <v>1000</v>
      </c>
      <c r="K68" s="231"/>
      <c r="L68" s="231"/>
      <c r="M68" s="231"/>
      <c r="N68" s="231"/>
      <c r="O68" s="232"/>
      <c r="Q68" s="148"/>
    </row>
    <row r="69" spans="1:32" ht="42.95" customHeight="1">
      <c r="A69" s="163"/>
      <c r="B69" s="288" t="s">
        <v>87</v>
      </c>
      <c r="C69" s="288"/>
      <c r="D69" s="289"/>
      <c r="E69" s="234">
        <v>500</v>
      </c>
      <c r="F69" s="234"/>
      <c r="G69" s="234"/>
      <c r="H69" s="234"/>
      <c r="I69" s="234"/>
      <c r="J69" s="230">
        <f t="shared" si="6"/>
        <v>500</v>
      </c>
      <c r="K69" s="231"/>
      <c r="L69" s="231"/>
      <c r="M69" s="231"/>
      <c r="N69" s="231"/>
      <c r="O69" s="232"/>
      <c r="Q69" s="148"/>
    </row>
    <row r="70" spans="1:32" ht="42.95" customHeight="1">
      <c r="A70" s="147"/>
      <c r="B70" s="290" t="s">
        <v>89</v>
      </c>
      <c r="C70" s="290"/>
      <c r="D70" s="291"/>
      <c r="E70" s="234">
        <v>0</v>
      </c>
      <c r="F70" s="234"/>
      <c r="G70" s="234"/>
      <c r="H70" s="234"/>
      <c r="I70" s="234"/>
      <c r="J70" s="230">
        <f t="shared" si="6"/>
        <v>0</v>
      </c>
      <c r="K70" s="231"/>
      <c r="L70" s="231"/>
      <c r="M70" s="231"/>
      <c r="N70" s="231"/>
      <c r="O70" s="232"/>
    </row>
    <row r="71" spans="1:32" ht="42.95" customHeight="1">
      <c r="A71" s="147"/>
      <c r="B71" s="288" t="s">
        <v>71</v>
      </c>
      <c r="C71" s="288"/>
      <c r="D71" s="289"/>
      <c r="E71" s="234">
        <v>0</v>
      </c>
      <c r="F71" s="234"/>
      <c r="G71" s="234"/>
      <c r="H71" s="234"/>
      <c r="I71" s="234"/>
      <c r="J71" s="230">
        <f t="shared" si="6"/>
        <v>0</v>
      </c>
      <c r="K71" s="231"/>
      <c r="L71" s="231"/>
      <c r="M71" s="231"/>
      <c r="N71" s="231"/>
      <c r="O71" s="232"/>
    </row>
    <row r="72" spans="1:32" ht="42.95" customHeight="1">
      <c r="A72" s="147"/>
      <c r="B72" s="288" t="s">
        <v>69</v>
      </c>
      <c r="C72" s="288"/>
      <c r="D72" s="289"/>
      <c r="E72" s="234">
        <v>300</v>
      </c>
      <c r="F72" s="234"/>
      <c r="G72" s="234"/>
      <c r="H72" s="234"/>
      <c r="I72" s="234"/>
      <c r="J72" s="230">
        <f t="shared" si="6"/>
        <v>300</v>
      </c>
      <c r="K72" s="231"/>
      <c r="L72" s="231"/>
      <c r="M72" s="231"/>
      <c r="N72" s="231"/>
      <c r="O72" s="232"/>
      <c r="P72" s="176"/>
      <c r="Q72" s="163"/>
      <c r="T72" s="164"/>
      <c r="U72" s="164"/>
      <c r="V72" s="164"/>
      <c r="W72" s="164"/>
      <c r="X72" s="164"/>
      <c r="Y72" s="164"/>
      <c r="Z72" s="164"/>
      <c r="AA72" s="164"/>
      <c r="AB72" s="164"/>
      <c r="AC72" s="164"/>
      <c r="AD72" s="164"/>
      <c r="AE72" s="164"/>
      <c r="AF72" s="164"/>
    </row>
    <row r="73" spans="1:32" ht="42.95" customHeight="1">
      <c r="A73" s="147"/>
      <c r="B73" s="288" t="s">
        <v>96</v>
      </c>
      <c r="C73" s="288"/>
      <c r="D73" s="289"/>
      <c r="E73" s="234">
        <v>0</v>
      </c>
      <c r="F73" s="234"/>
      <c r="G73" s="234"/>
      <c r="H73" s="234"/>
      <c r="I73" s="234"/>
      <c r="J73" s="230">
        <f t="shared" si="6"/>
        <v>0</v>
      </c>
      <c r="K73" s="231"/>
      <c r="L73" s="231"/>
      <c r="M73" s="231"/>
      <c r="N73" s="231"/>
      <c r="O73" s="232"/>
      <c r="P73" s="176"/>
      <c r="Q73" s="163"/>
      <c r="T73" s="164"/>
      <c r="U73" s="164"/>
      <c r="V73" s="164"/>
      <c r="W73" s="164"/>
      <c r="X73" s="164"/>
      <c r="Y73" s="164"/>
      <c r="Z73" s="164"/>
      <c r="AA73" s="164"/>
      <c r="AB73" s="164"/>
      <c r="AC73" s="164"/>
      <c r="AD73" s="164"/>
      <c r="AE73" s="164"/>
      <c r="AF73" s="164"/>
    </row>
    <row r="74" spans="1:32" ht="42.95" customHeight="1">
      <c r="A74" s="147"/>
      <c r="B74" s="288" t="s">
        <v>97</v>
      </c>
      <c r="C74" s="288"/>
      <c r="D74" s="289"/>
      <c r="E74" s="234">
        <v>1500</v>
      </c>
      <c r="F74" s="234"/>
      <c r="G74" s="234"/>
      <c r="H74" s="234"/>
      <c r="I74" s="234"/>
      <c r="J74" s="230">
        <f t="shared" si="6"/>
        <v>1500</v>
      </c>
      <c r="K74" s="231"/>
      <c r="L74" s="231"/>
      <c r="M74" s="231"/>
      <c r="N74" s="231"/>
      <c r="O74" s="232"/>
      <c r="P74" s="176"/>
      <c r="Q74" s="163"/>
      <c r="T74" s="164"/>
      <c r="U74" s="164"/>
      <c r="V74" s="164"/>
      <c r="W74" s="164"/>
      <c r="X74" s="164"/>
      <c r="Y74" s="164"/>
      <c r="Z74" s="164"/>
      <c r="AA74" s="164"/>
      <c r="AB74" s="164"/>
      <c r="AC74" s="164"/>
      <c r="AD74" s="164"/>
      <c r="AE74" s="164"/>
      <c r="AF74" s="164"/>
    </row>
    <row r="75" spans="1:32" ht="42.95" customHeight="1">
      <c r="A75" s="147"/>
      <c r="B75" s="294" t="s">
        <v>98</v>
      </c>
      <c r="C75" s="294"/>
      <c r="D75" s="295"/>
      <c r="E75" s="264">
        <v>5000</v>
      </c>
      <c r="F75" s="265"/>
      <c r="G75" s="265"/>
      <c r="H75" s="265"/>
      <c r="I75" s="266"/>
      <c r="J75" s="230">
        <f t="shared" si="6"/>
        <v>5000</v>
      </c>
      <c r="K75" s="231"/>
      <c r="L75" s="231"/>
      <c r="M75" s="231"/>
      <c r="N75" s="231"/>
      <c r="O75" s="232"/>
    </row>
    <row r="76" spans="1:32" ht="42.95" customHeight="1">
      <c r="A76" s="147"/>
      <c r="B76" s="288" t="s">
        <v>85</v>
      </c>
      <c r="C76" s="288"/>
      <c r="D76" s="289"/>
      <c r="E76" s="264">
        <v>0</v>
      </c>
      <c r="F76" s="265"/>
      <c r="G76" s="265"/>
      <c r="H76" s="265"/>
      <c r="I76" s="266"/>
      <c r="J76" s="230">
        <f t="shared" ref="J76" si="7">E76/CHOOSE($S$2,1,$G$5,$K$5,$N$5)</f>
        <v>0</v>
      </c>
      <c r="K76" s="231"/>
      <c r="L76" s="231"/>
      <c r="M76" s="231"/>
      <c r="N76" s="231"/>
      <c r="O76" s="232"/>
      <c r="P76" s="176"/>
      <c r="Q76" s="163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</row>
    <row r="77" spans="1:32" customFormat="1" ht="42.95" customHeight="1">
      <c r="A77" s="223"/>
      <c r="B77" s="229" t="s">
        <v>148</v>
      </c>
      <c r="C77" s="229"/>
      <c r="D77" s="7"/>
      <c r="E77" s="233">
        <v>0.30199999999999999</v>
      </c>
      <c r="F77" s="233"/>
      <c r="G77" s="233"/>
      <c r="H77" s="233"/>
      <c r="I77" s="233"/>
      <c r="J77" s="235" t="s">
        <v>149</v>
      </c>
      <c r="K77" s="235"/>
      <c r="L77" s="235"/>
      <c r="M77" s="235"/>
      <c r="N77" s="235"/>
      <c r="O77" s="235"/>
    </row>
    <row r="78" spans="1:32" customFormat="1" ht="42.95" customHeight="1">
      <c r="A78" s="223"/>
      <c r="B78" s="229" t="s">
        <v>152</v>
      </c>
      <c r="C78" s="229"/>
      <c r="D78" s="7"/>
      <c r="E78" s="233">
        <v>0.01</v>
      </c>
      <c r="F78" s="233"/>
      <c r="G78" s="233"/>
      <c r="H78" s="233"/>
      <c r="I78" s="233"/>
      <c r="J78" s="235" t="s">
        <v>150</v>
      </c>
      <c r="K78" s="235"/>
      <c r="L78" s="235"/>
      <c r="M78" s="235"/>
      <c r="N78" s="235"/>
      <c r="O78" s="235"/>
    </row>
    <row r="79" spans="1:32" customFormat="1" ht="42.95" customHeight="1">
      <c r="A79" s="223"/>
      <c r="B79" s="229" t="s">
        <v>153</v>
      </c>
      <c r="C79" s="229"/>
      <c r="D79" s="7"/>
      <c r="E79" s="233">
        <v>0.01</v>
      </c>
      <c r="F79" s="233"/>
      <c r="G79" s="233"/>
      <c r="H79" s="233"/>
      <c r="I79" s="233"/>
      <c r="J79" s="235" t="s">
        <v>151</v>
      </c>
      <c r="K79" s="235"/>
      <c r="L79" s="235"/>
      <c r="M79" s="235"/>
      <c r="N79" s="235"/>
      <c r="O79" s="235"/>
    </row>
    <row r="80" spans="1:32" customFormat="1" ht="42.95" customHeight="1">
      <c r="A80" s="223"/>
      <c r="B80" s="229" t="s">
        <v>154</v>
      </c>
      <c r="C80" s="229"/>
      <c r="D80" s="7"/>
      <c r="E80" s="234">
        <v>2000</v>
      </c>
      <c r="F80" s="234"/>
      <c r="G80" s="234"/>
      <c r="H80" s="234"/>
      <c r="I80" s="234"/>
      <c r="J80" s="230">
        <f>E80/CHOOSE($S$2,1,$G$5,$K$5,$N$5)</f>
        <v>2000</v>
      </c>
      <c r="K80" s="231"/>
      <c r="L80" s="231"/>
      <c r="M80" s="231"/>
      <c r="N80" s="231"/>
      <c r="O80" s="232"/>
    </row>
    <row r="81" spans="1:15" ht="42.95" customHeight="1">
      <c r="A81" s="147"/>
      <c r="B81" s="288" t="s">
        <v>2</v>
      </c>
      <c r="C81" s="288"/>
      <c r="D81" s="289"/>
      <c r="E81" s="234"/>
      <c r="F81" s="234"/>
      <c r="G81" s="234"/>
      <c r="H81" s="234"/>
      <c r="I81" s="234"/>
      <c r="J81" s="230">
        <f t="shared" ref="J81" si="8">E81/CHOOSE($S$2,1,$G$5,$K$5,$N$5)</f>
        <v>0</v>
      </c>
      <c r="K81" s="231"/>
      <c r="L81" s="231"/>
      <c r="M81" s="231"/>
      <c r="N81" s="231"/>
      <c r="O81" s="232"/>
    </row>
    <row r="82" spans="1:15" ht="38.1" customHeight="1">
      <c r="A82" s="292" t="s">
        <v>157</v>
      </c>
      <c r="B82" s="292"/>
      <c r="C82" s="292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</row>
  </sheetData>
  <sheetProtection formatCells="0" formatColumns="0" formatRows="0" insertColumns="0" insertRows="0" insertHyperlinks="0" deleteColumns="0" deleteRows="0" sort="0" autoFilter="0" pivotTables="0"/>
  <mergeCells count="263">
    <mergeCell ref="J73:O73"/>
    <mergeCell ref="J74:O74"/>
    <mergeCell ref="J75:O75"/>
    <mergeCell ref="J76:O76"/>
    <mergeCell ref="J81:O81"/>
    <mergeCell ref="J63:O63"/>
    <mergeCell ref="J64:O64"/>
    <mergeCell ref="J65:O65"/>
    <mergeCell ref="J66:O66"/>
    <mergeCell ref="J67:O67"/>
    <mergeCell ref="J68:O68"/>
    <mergeCell ref="J69:O69"/>
    <mergeCell ref="J70:O70"/>
    <mergeCell ref="J71:O71"/>
    <mergeCell ref="K5:L5"/>
    <mergeCell ref="N5:O5"/>
    <mergeCell ref="E39:J39"/>
    <mergeCell ref="E40:J40"/>
    <mergeCell ref="E41:J41"/>
    <mergeCell ref="E42:J42"/>
    <mergeCell ref="N33:O33"/>
    <mergeCell ref="N34:O35"/>
    <mergeCell ref="F33:G33"/>
    <mergeCell ref="F34:G34"/>
    <mergeCell ref="F35:G35"/>
    <mergeCell ref="H33:I33"/>
    <mergeCell ref="H34:I34"/>
    <mergeCell ref="H35:I35"/>
    <mergeCell ref="J33:K33"/>
    <mergeCell ref="J34:K34"/>
    <mergeCell ref="J35:K35"/>
    <mergeCell ref="L33:M33"/>
    <mergeCell ref="L34:M34"/>
    <mergeCell ref="L35:M35"/>
    <mergeCell ref="D33:E33"/>
    <mergeCell ref="D34:E34"/>
    <mergeCell ref="B65:D65"/>
    <mergeCell ref="E71:I71"/>
    <mergeCell ref="A15:B15"/>
    <mergeCell ref="A33:B33"/>
    <mergeCell ref="A34:B34"/>
    <mergeCell ref="A35:B35"/>
    <mergeCell ref="A58:C58"/>
    <mergeCell ref="E58:G58"/>
    <mergeCell ref="K58:M58"/>
    <mergeCell ref="A59:C59"/>
    <mergeCell ref="E59:G59"/>
    <mergeCell ref="K59:M59"/>
    <mergeCell ref="E53:J53"/>
    <mergeCell ref="B46:D46"/>
    <mergeCell ref="A1:O1"/>
    <mergeCell ref="A51:O51"/>
    <mergeCell ref="A2:O2"/>
    <mergeCell ref="A56:C56"/>
    <mergeCell ref="A5:D5"/>
    <mergeCell ref="E54:G54"/>
    <mergeCell ref="D53:D54"/>
    <mergeCell ref="A53:C54"/>
    <mergeCell ref="K56:M56"/>
    <mergeCell ref="E56:G56"/>
    <mergeCell ref="K53:M54"/>
    <mergeCell ref="B41:D41"/>
    <mergeCell ref="B42:D42"/>
    <mergeCell ref="B43:D43"/>
    <mergeCell ref="B44:D44"/>
    <mergeCell ref="A36:O36"/>
    <mergeCell ref="B45:D45"/>
    <mergeCell ref="K47:O47"/>
    <mergeCell ref="K48:O48"/>
    <mergeCell ref="K49:O49"/>
    <mergeCell ref="E5:F5"/>
    <mergeCell ref="G5:H5"/>
    <mergeCell ref="I5:J5"/>
    <mergeCell ref="B50:D50"/>
    <mergeCell ref="A82:O82"/>
    <mergeCell ref="A60:O60"/>
    <mergeCell ref="E38:O38"/>
    <mergeCell ref="K44:O44"/>
    <mergeCell ref="B40:D40"/>
    <mergeCell ref="E81:I81"/>
    <mergeCell ref="B75:D75"/>
    <mergeCell ref="E63:I63"/>
    <mergeCell ref="E64:I64"/>
    <mergeCell ref="E62:O62"/>
    <mergeCell ref="B64:D64"/>
    <mergeCell ref="K50:O50"/>
    <mergeCell ref="A55:C55"/>
    <mergeCell ref="E55:G55"/>
    <mergeCell ref="K55:M55"/>
    <mergeCell ref="A57:C57"/>
    <mergeCell ref="E57:G57"/>
    <mergeCell ref="K57:M57"/>
    <mergeCell ref="B81:D81"/>
    <mergeCell ref="E75:I75"/>
    <mergeCell ref="E76:I76"/>
    <mergeCell ref="B67:D67"/>
    <mergeCell ref="B68:D68"/>
    <mergeCell ref="B76:D76"/>
    <mergeCell ref="E74:I74"/>
    <mergeCell ref="B66:D66"/>
    <mergeCell ref="K61:O61"/>
    <mergeCell ref="B73:D73"/>
    <mergeCell ref="E73:I73"/>
    <mergeCell ref="E70:I70"/>
    <mergeCell ref="E43:J43"/>
    <mergeCell ref="K43:O43"/>
    <mergeCell ref="K45:O45"/>
    <mergeCell ref="K46:O46"/>
    <mergeCell ref="B69:D69"/>
    <mergeCell ref="B70:D70"/>
    <mergeCell ref="B71:D71"/>
    <mergeCell ref="B72:D72"/>
    <mergeCell ref="B74:D74"/>
    <mergeCell ref="E66:I66"/>
    <mergeCell ref="E67:I67"/>
    <mergeCell ref="E68:I68"/>
    <mergeCell ref="E69:I69"/>
    <mergeCell ref="B47:D47"/>
    <mergeCell ref="B48:D48"/>
    <mergeCell ref="B49:D49"/>
    <mergeCell ref="E44:J44"/>
    <mergeCell ref="E45:J45"/>
    <mergeCell ref="E48:J48"/>
    <mergeCell ref="E49:J49"/>
    <mergeCell ref="E50:J50"/>
    <mergeCell ref="K39:O39"/>
    <mergeCell ref="K40:O40"/>
    <mergeCell ref="K41:O41"/>
    <mergeCell ref="K42:O42"/>
    <mergeCell ref="E72:I72"/>
    <mergeCell ref="E46:J46"/>
    <mergeCell ref="N55:O55"/>
    <mergeCell ref="N57:O57"/>
    <mergeCell ref="N56:O56"/>
    <mergeCell ref="N58:O58"/>
    <mergeCell ref="N59:O59"/>
    <mergeCell ref="H54:J54"/>
    <mergeCell ref="H55:J55"/>
    <mergeCell ref="H57:J57"/>
    <mergeCell ref="H56:J56"/>
    <mergeCell ref="H58:J58"/>
    <mergeCell ref="H59:J59"/>
    <mergeCell ref="N53:O54"/>
    <mergeCell ref="J72:O72"/>
    <mergeCell ref="E65:I65"/>
    <mergeCell ref="A10:B10"/>
    <mergeCell ref="A11:B11"/>
    <mergeCell ref="A8:B9"/>
    <mergeCell ref="A12:B12"/>
    <mergeCell ref="A13:B13"/>
    <mergeCell ref="A14:B14"/>
    <mergeCell ref="A16:O16"/>
    <mergeCell ref="D35:E35"/>
    <mergeCell ref="E47:J47"/>
    <mergeCell ref="E9:F9"/>
    <mergeCell ref="E10:F10"/>
    <mergeCell ref="E11:F11"/>
    <mergeCell ref="E12:F12"/>
    <mergeCell ref="E13:F13"/>
    <mergeCell ref="E14:F14"/>
    <mergeCell ref="E15:F15"/>
    <mergeCell ref="C8:F8"/>
    <mergeCell ref="C9:D9"/>
    <mergeCell ref="C10:D10"/>
    <mergeCell ref="C11:D11"/>
    <mergeCell ref="C12:D12"/>
    <mergeCell ref="C13:D13"/>
    <mergeCell ref="C14:D14"/>
    <mergeCell ref="C15:D15"/>
    <mergeCell ref="G13:H13"/>
    <mergeCell ref="G14:H14"/>
    <mergeCell ref="G15:H15"/>
    <mergeCell ref="I9:J9"/>
    <mergeCell ref="I10:J10"/>
    <mergeCell ref="I11:J11"/>
    <mergeCell ref="I12:J12"/>
    <mergeCell ref="I13:J13"/>
    <mergeCell ref="I14:J14"/>
    <mergeCell ref="I15:J15"/>
    <mergeCell ref="L23:O23"/>
    <mergeCell ref="L24:O24"/>
    <mergeCell ref="L25:O25"/>
    <mergeCell ref="L26:O26"/>
    <mergeCell ref="A31:K31"/>
    <mergeCell ref="M8:O9"/>
    <mergeCell ref="M10:O10"/>
    <mergeCell ref="M11:O11"/>
    <mergeCell ref="M12:O12"/>
    <mergeCell ref="M13:O13"/>
    <mergeCell ref="M14:O14"/>
    <mergeCell ref="M15:O15"/>
    <mergeCell ref="G8:L8"/>
    <mergeCell ref="K9:L9"/>
    <mergeCell ref="K10:L10"/>
    <mergeCell ref="K11:L11"/>
    <mergeCell ref="K12:L12"/>
    <mergeCell ref="K13:L13"/>
    <mergeCell ref="K14:L14"/>
    <mergeCell ref="K15:L15"/>
    <mergeCell ref="G9:H9"/>
    <mergeCell ref="G10:H10"/>
    <mergeCell ref="G11:H11"/>
    <mergeCell ref="G12:H12"/>
    <mergeCell ref="E25:H25"/>
    <mergeCell ref="E26:H26"/>
    <mergeCell ref="L27:O27"/>
    <mergeCell ref="L28:O28"/>
    <mergeCell ref="L29:O29"/>
    <mergeCell ref="L30:O30"/>
    <mergeCell ref="I18:K18"/>
    <mergeCell ref="I19:K19"/>
    <mergeCell ref="I20:K20"/>
    <mergeCell ref="I21:K21"/>
    <mergeCell ref="I22:K22"/>
    <mergeCell ref="I23:K23"/>
    <mergeCell ref="I24:K24"/>
    <mergeCell ref="I25:K25"/>
    <mergeCell ref="I26:K26"/>
    <mergeCell ref="I27:K27"/>
    <mergeCell ref="I28:K28"/>
    <mergeCell ref="I29:K29"/>
    <mergeCell ref="I30:K30"/>
    <mergeCell ref="L18:O18"/>
    <mergeCell ref="L19:O19"/>
    <mergeCell ref="L20:O20"/>
    <mergeCell ref="L21:O21"/>
    <mergeCell ref="L22:O22"/>
    <mergeCell ref="E27:H27"/>
    <mergeCell ref="E28:H28"/>
    <mergeCell ref="E29:H29"/>
    <mergeCell ref="E30:H30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E18:H18"/>
    <mergeCell ref="E19:H19"/>
    <mergeCell ref="E20:H20"/>
    <mergeCell ref="E21:H21"/>
    <mergeCell ref="E22:H22"/>
    <mergeCell ref="E23:H23"/>
    <mergeCell ref="E24:H24"/>
    <mergeCell ref="B79:C79"/>
    <mergeCell ref="B80:C80"/>
    <mergeCell ref="J80:O80"/>
    <mergeCell ref="E79:I79"/>
    <mergeCell ref="E80:I80"/>
    <mergeCell ref="J79:O79"/>
    <mergeCell ref="B77:C77"/>
    <mergeCell ref="B78:C78"/>
    <mergeCell ref="E77:I77"/>
    <mergeCell ref="E78:I78"/>
    <mergeCell ref="J77:O77"/>
    <mergeCell ref="J78:O7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38" orientation="portrait" r:id="rId1"/>
  <rowBreaks count="1" manualBreakCount="1">
    <brk id="51" max="14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Y63"/>
  <sheetViews>
    <sheetView showGridLines="0" zoomScale="60" zoomScaleNormal="60" zoomScaleSheetLayoutView="70" workbookViewId="0">
      <selection activeCell="G7" sqref="G7"/>
    </sheetView>
  </sheetViews>
  <sheetFormatPr defaultColWidth="8.85546875" defaultRowHeight="34.15" customHeight="1"/>
  <cols>
    <col min="1" max="1" width="8.42578125" style="7" customWidth="1"/>
    <col min="2" max="2" width="31.140625" style="7" customWidth="1"/>
    <col min="3" max="3" width="28.42578125" style="7" customWidth="1"/>
    <col min="4" max="4" width="25.85546875" style="7" customWidth="1"/>
    <col min="5" max="5" width="28.42578125" style="7" customWidth="1"/>
    <col min="6" max="6" width="25.85546875" style="7" customWidth="1"/>
    <col min="7" max="7" width="31.5703125" style="7" customWidth="1"/>
    <col min="8" max="8" width="42" style="7" bestFit="1" customWidth="1"/>
    <col min="9" max="9" width="11.85546875" style="7" customWidth="1"/>
    <col min="10" max="11" width="9.140625" style="7" customWidth="1"/>
    <col min="12" max="12" width="1.7109375" style="7" hidden="1" customWidth="1"/>
    <col min="13" max="13" width="20.7109375" style="7" hidden="1" customWidth="1"/>
    <col min="14" max="14" width="1.7109375" style="7" customWidth="1"/>
    <col min="15" max="15" width="15.85546875" style="7" bestFit="1" customWidth="1"/>
    <col min="16" max="16" width="6.140625" style="7" customWidth="1"/>
    <col min="17" max="17" width="11.85546875" style="7" bestFit="1" customWidth="1"/>
    <col min="18" max="18" width="8.85546875" style="7" customWidth="1"/>
    <col min="19" max="16384" width="8.85546875" style="7"/>
  </cols>
  <sheetData>
    <row r="1" spans="1:18" ht="70.150000000000006" customHeight="1">
      <c r="A1" s="303" t="s">
        <v>117</v>
      </c>
      <c r="B1" s="303"/>
      <c r="C1" s="303"/>
      <c r="D1" s="303"/>
      <c r="E1" s="303"/>
      <c r="F1" s="303"/>
      <c r="G1" s="303"/>
      <c r="H1" s="303"/>
      <c r="I1" s="136"/>
      <c r="L1" s="137">
        <v>1</v>
      </c>
      <c r="M1" s="216" t="s">
        <v>150</v>
      </c>
      <c r="N1" s="139"/>
      <c r="O1" s="139"/>
      <c r="P1" s="138"/>
      <c r="Q1" s="138"/>
      <c r="R1" s="139"/>
    </row>
    <row r="2" spans="1:18" ht="34.15" customHeight="1">
      <c r="A2" s="347" t="s">
        <v>47</v>
      </c>
      <c r="B2" s="347"/>
      <c r="C2" s="347"/>
      <c r="D2" s="347"/>
      <c r="E2" s="140" t="str">
        <f>CHOOSE('Исходные данные'!$S$2,'Исходные данные'!$T$2,'Исходные данные'!$T$3,'Исходные данные'!$T$4,'Исходные данные'!$T$5)</f>
        <v>RUB</v>
      </c>
      <c r="F2" s="141"/>
      <c r="H2" s="142"/>
      <c r="I2" s="142"/>
      <c r="J2" s="143"/>
      <c r="L2" s="138"/>
      <c r="M2" s="216" t="s">
        <v>151</v>
      </c>
      <c r="N2" s="139"/>
      <c r="O2" s="139"/>
      <c r="P2" s="138"/>
      <c r="Q2" s="138"/>
      <c r="R2" s="139"/>
    </row>
    <row r="3" spans="1:18" ht="34.15" customHeight="1">
      <c r="A3" s="144" t="s">
        <v>22</v>
      </c>
      <c r="B3" s="145"/>
      <c r="E3" s="140" t="str">
        <f>CHOOSE('Исходные данные'!$U$2,'Исходные данные'!$V$2,'Исходные данные'!$V$3,'Исходные данные'!$V$4,'Исходные данные'!$V$5,'Исходные данные'!$V$6,'Исходные данные'!$V$7,'Исходные данные'!#REF!,'Исходные данные'!$V$9,'Исходные данные'!$V$10,'Исходные данные'!$V$11,'Исходные данные'!$V$12,'Исходные данные'!$V$13)</f>
        <v>январь</v>
      </c>
      <c r="G3" s="224" t="s">
        <v>155</v>
      </c>
      <c r="H3" s="225"/>
      <c r="I3" s="225"/>
      <c r="J3" s="143"/>
      <c r="L3" s="138"/>
      <c r="M3" s="216" t="s">
        <v>156</v>
      </c>
      <c r="N3" s="139"/>
      <c r="O3" s="139"/>
    </row>
    <row r="4" spans="1:18" ht="17.649999999999999" customHeight="1">
      <c r="A4" s="146"/>
      <c r="E4" s="147"/>
      <c r="M4" s="138"/>
      <c r="N4" s="139"/>
      <c r="O4" s="139"/>
    </row>
    <row r="5" spans="1:18" ht="34.15" customHeight="1">
      <c r="A5" s="146" t="s">
        <v>49</v>
      </c>
      <c r="M5" s="138"/>
      <c r="N5" s="139"/>
      <c r="O5" s="139"/>
    </row>
    <row r="6" spans="1:18" s="148" customFormat="1" ht="46.9" customHeight="1">
      <c r="A6" s="343" t="s">
        <v>80</v>
      </c>
      <c r="B6" s="344"/>
      <c r="C6" s="341" t="str">
        <f>'Исходные данные'!C8</f>
        <v>Средняя стоимость одной услуги по каждой группе услуг</v>
      </c>
      <c r="D6" s="342"/>
      <c r="E6" s="341" t="s">
        <v>112</v>
      </c>
      <c r="F6" s="342"/>
      <c r="G6" s="341" t="s">
        <v>162</v>
      </c>
      <c r="H6" s="342"/>
      <c r="J6" s="149"/>
      <c r="M6" s="149"/>
      <c r="N6" s="150"/>
      <c r="O6" s="151"/>
      <c r="P6" s="139"/>
      <c r="Q6" s="152"/>
    </row>
    <row r="7" spans="1:18" s="148" customFormat="1" ht="56.1" customHeight="1">
      <c r="A7" s="345"/>
      <c r="B7" s="346"/>
      <c r="C7" s="206" t="s">
        <v>109</v>
      </c>
      <c r="D7" s="208" t="str">
        <f>"В валюте, в которой производиться расчет, "&amp;CHOOSE('Исходные данные'!$S$2,'Исходные данные'!$T$2,'Исходные данные'!$T$3,'Исходные данные'!$T$4,'Исходные данные'!$T$5)&amp;"/мес."</f>
        <v>В валюте, в которой производиться расчет, RUB/мес.</v>
      </c>
      <c r="E7" s="153" t="s">
        <v>109</v>
      </c>
      <c r="F7" s="154" t="str">
        <f>"В валюте, в которой производиться расчет, "&amp;CHOOSE('Исходные данные'!$S$2,'Исходные данные'!$T$2,'Исходные данные'!$T$3,'Исходные данные'!$T$4,'Исходные данные'!$T$5)&amp;"/мес."</f>
        <v>В валюте, в которой производиться расчет, RUB/мес.</v>
      </c>
      <c r="G7" s="162" t="s">
        <v>109</v>
      </c>
      <c r="H7" s="154" t="str">
        <f>"В валюте, в которой производиться расчет, "&amp;CHOOSE('Исходные данные'!$S$2,'Исходные данные'!$T$2,'Исходные данные'!$T$3,'Исходные данные'!$T$4,'Исходные данные'!$T$5)&amp;"/мес."</f>
        <v>В валюте, в которой производиться расчет, RUB/мес.</v>
      </c>
      <c r="J7" s="149"/>
      <c r="M7" s="149"/>
      <c r="N7" s="150"/>
      <c r="O7" s="151"/>
      <c r="P7" s="139"/>
      <c r="Q7" s="152"/>
    </row>
    <row r="8" spans="1:18" s="148" customFormat="1" ht="42" customHeight="1">
      <c r="A8" s="326" t="str">
        <f>'Исходные данные'!A10</f>
        <v>Столешницы кухонные</v>
      </c>
      <c r="B8" s="327"/>
      <c r="C8" s="205">
        <f>'Исходные данные'!C10</f>
        <v>40000</v>
      </c>
      <c r="D8" s="205">
        <f>C8/CHOOSE('Исходные данные'!$S$2,1,'Исходные данные'!$G$5,'Исходные данные'!$K$5,'Исходные данные'!$N$5)</f>
        <v>40000</v>
      </c>
      <c r="E8" s="155">
        <f>F8*CHOOSE('Исходные данные'!$S$2,1,'Исходные данные'!$G$5,'Исходные данные'!$K$5,'Исходные данные'!$N$5)</f>
        <v>203666.66666666666</v>
      </c>
      <c r="F8" s="205">
        <f>'Детальный расчет'!P17</f>
        <v>203666.66666666666</v>
      </c>
      <c r="G8" s="155">
        <f>H8*CHOOSE('Исходные данные'!$S$2,1,'Исходные данные'!$G$5,'Исходные данные'!$K$5,'Исходные данные'!$N$5)</f>
        <v>122199.99999999999</v>
      </c>
      <c r="H8" s="205">
        <f>('Детальный расчет'!P17-'Детальный расчет'!P26)</f>
        <v>122199.99999999999</v>
      </c>
      <c r="J8" s="149"/>
      <c r="M8" s="149"/>
      <c r="N8" s="150"/>
      <c r="O8" s="151"/>
      <c r="P8" s="139"/>
      <c r="Q8" s="152"/>
    </row>
    <row r="9" spans="1:18" ht="45.95" customHeight="1">
      <c r="A9" s="326" t="str">
        <f>'Исходные данные'!A11</f>
        <v>Столешницы сан. узел</v>
      </c>
      <c r="B9" s="327"/>
      <c r="C9" s="205">
        <f>'Исходные данные'!C11</f>
        <v>17000</v>
      </c>
      <c r="D9" s="205">
        <f>C9/CHOOSE('Исходные данные'!$S$2,1,'Исходные данные'!$G$5,'Исходные данные'!$K$5,'Исходные данные'!$N$5)</f>
        <v>17000</v>
      </c>
      <c r="E9" s="155">
        <f>F9*CHOOSE('Исходные данные'!$S$2,1,'Исходные данные'!$G$5,'Исходные данные'!$K$5,'Исходные данные'!$N$5)</f>
        <v>81033.333333333328</v>
      </c>
      <c r="F9" s="205">
        <f>'Детальный расчет'!P18</f>
        <v>81033.333333333328</v>
      </c>
      <c r="G9" s="155">
        <f>H9*CHOOSE('Исходные данные'!$S$2,1,'Исходные данные'!$G$5,'Исходные данные'!$K$5,'Исходные данные'!$N$5)</f>
        <v>50050</v>
      </c>
      <c r="H9" s="205">
        <f>('Детальный расчет'!P18-'Детальный расчет'!P27)</f>
        <v>50050</v>
      </c>
      <c r="J9" s="156"/>
      <c r="M9" s="139"/>
      <c r="N9" s="139"/>
      <c r="O9" s="157"/>
      <c r="Q9" s="157"/>
    </row>
    <row r="10" spans="1:18" ht="42" customHeight="1">
      <c r="A10" s="326" t="str">
        <f>'Исходные данные'!A12</f>
        <v>Барные стойки</v>
      </c>
      <c r="B10" s="327"/>
      <c r="C10" s="205">
        <f>'Исходные данные'!C12</f>
        <v>15000</v>
      </c>
      <c r="D10" s="205">
        <f>C10/CHOOSE('Исходные данные'!$S$2,1,'Исходные данные'!$G$5,'Исходные данные'!$K$5,'Исходные данные'!$N$5)</f>
        <v>15000</v>
      </c>
      <c r="E10" s="155">
        <f>F10*CHOOSE('Исходные данные'!$S$2,1,'Исходные данные'!$G$5,'Исходные данные'!$K$5,'Исходные данные'!$N$5)</f>
        <v>19125</v>
      </c>
      <c r="F10" s="205">
        <f>'Детальный расчет'!P19</f>
        <v>19125</v>
      </c>
      <c r="G10" s="155">
        <f>H10*CHOOSE('Исходные данные'!$S$2,1,'Исходные данные'!$G$5,'Исходные данные'!$K$5,'Исходные данные'!$N$5)</f>
        <v>11475</v>
      </c>
      <c r="H10" s="205">
        <f>('Детальный расчет'!P19-'Детальный расчет'!P28)</f>
        <v>11475</v>
      </c>
      <c r="K10" s="158"/>
    </row>
    <row r="11" spans="1:18" s="148" customFormat="1" ht="42" customHeight="1">
      <c r="A11" s="326" t="str">
        <f>'Исходные данные'!A13</f>
        <v>Ванны</v>
      </c>
      <c r="B11" s="327"/>
      <c r="C11" s="205">
        <f>'Исходные данные'!C13</f>
        <v>45000</v>
      </c>
      <c r="D11" s="205">
        <f>C11/CHOOSE('Исходные данные'!$S$2,1,'Исходные данные'!$G$5,'Исходные данные'!$K$5,'Исходные данные'!$N$5)</f>
        <v>45000</v>
      </c>
      <c r="E11" s="205">
        <f>F11*CHOOSE('Исходные данные'!$S$2,1,'Исходные данные'!$G$5,'Исходные данные'!$K$5,'Исходные данные'!$N$5)</f>
        <v>14625</v>
      </c>
      <c r="F11" s="205">
        <f>'Детальный расчет'!P20</f>
        <v>14625</v>
      </c>
      <c r="G11" s="205">
        <f>H11*CHOOSE('Исходные данные'!$S$2,1,'Исходные данные'!$G$5,'Исходные данные'!$K$5,'Исходные данные'!$N$5)</f>
        <v>8775</v>
      </c>
      <c r="H11" s="205">
        <f>('Детальный расчет'!P20-'Детальный расчет'!P29)</f>
        <v>8775</v>
      </c>
      <c r="J11" s="149"/>
      <c r="M11" s="149"/>
      <c r="N11" s="150"/>
      <c r="O11" s="151"/>
      <c r="P11" s="139"/>
      <c r="Q11" s="152"/>
    </row>
    <row r="12" spans="1:18" ht="45.95" customHeight="1">
      <c r="A12" s="326" t="str">
        <f>'Исходные данные'!A14</f>
        <v>Ступени для лестниц</v>
      </c>
      <c r="B12" s="327"/>
      <c r="C12" s="205">
        <f>'Исходные данные'!C14</f>
        <v>80000</v>
      </c>
      <c r="D12" s="205">
        <f>C12/CHOOSE('Исходные данные'!$S$2,1,'Исходные данные'!$G$5,'Исходные данные'!$K$5,'Исходные данные'!$N$5)</f>
        <v>80000</v>
      </c>
      <c r="E12" s="205">
        <f>F12*CHOOSE('Исходные данные'!$S$2,1,'Исходные данные'!$G$5,'Исходные данные'!$K$5,'Исходные данные'!$N$5)</f>
        <v>26000</v>
      </c>
      <c r="F12" s="205">
        <f>'Детальный расчет'!P21</f>
        <v>26000</v>
      </c>
      <c r="G12" s="205">
        <f>H12*CHOOSE('Исходные данные'!$S$2,1,'Исходные данные'!$G$5,'Исходные данные'!$K$5,'Исходные данные'!$N$5)</f>
        <v>15600</v>
      </c>
      <c r="H12" s="205">
        <f>('Детальный расчет'!P21-'Детальный расчет'!P30)</f>
        <v>15600</v>
      </c>
      <c r="J12" s="156"/>
      <c r="M12" s="139"/>
      <c r="N12" s="139"/>
      <c r="O12" s="157"/>
      <c r="Q12" s="157"/>
    </row>
    <row r="13" spans="1:18" ht="45.95" customHeight="1">
      <c r="A13" s="326" t="str">
        <f>'Исходные данные'!A15</f>
        <v>Подоконники</v>
      </c>
      <c r="B13" s="327"/>
      <c r="C13" s="205">
        <f>'Исходные данные'!C15</f>
        <v>12000</v>
      </c>
      <c r="D13" s="205">
        <f>C13/CHOOSE('Исходные данные'!$S$2,1,'Исходные данные'!$G$5,'Исходные данные'!$K$5,'Исходные данные'!$N$5)</f>
        <v>12000</v>
      </c>
      <c r="E13" s="205">
        <f>F13*CHOOSE('Исходные данные'!$S$2,1,'Исходные данные'!$G$5,'Исходные данные'!$K$5,'Исходные данные'!$N$5)</f>
        <v>22800</v>
      </c>
      <c r="F13" s="205">
        <f>'Детальный расчет'!P22</f>
        <v>22800</v>
      </c>
      <c r="G13" s="205">
        <f>H13*CHOOSE('Исходные данные'!$S$2,1,'Исходные данные'!$G$5,'Исходные данные'!$K$5,'Исходные данные'!$N$5)</f>
        <v>12350</v>
      </c>
      <c r="H13" s="205">
        <f>('Детальный расчет'!P22-'Детальный расчет'!P31)</f>
        <v>12350</v>
      </c>
      <c r="J13" s="156"/>
      <c r="M13" s="139"/>
      <c r="N13" s="139"/>
      <c r="O13" s="157"/>
      <c r="Q13" s="157"/>
    </row>
    <row r="14" spans="1:18" s="148" customFormat="1" ht="42" customHeight="1">
      <c r="A14" s="326" t="s">
        <v>9</v>
      </c>
      <c r="B14" s="327"/>
      <c r="C14" s="205"/>
      <c r="D14" s="205"/>
      <c r="E14" s="155">
        <f>SUM(E8:E13)</f>
        <v>367250</v>
      </c>
      <c r="F14" s="205">
        <f t="shared" ref="F14:H14" si="0">SUM(F8:F13)</f>
        <v>367250</v>
      </c>
      <c r="G14" s="205">
        <f t="shared" si="0"/>
        <v>220450</v>
      </c>
      <c r="H14" s="205">
        <f t="shared" si="0"/>
        <v>220450</v>
      </c>
      <c r="J14" s="149"/>
      <c r="K14" s="159"/>
      <c r="M14" s="149"/>
      <c r="N14" s="150"/>
      <c r="O14" s="151"/>
      <c r="Q14" s="152"/>
    </row>
    <row r="15" spans="1:18" ht="34.15" customHeight="1">
      <c r="A15" s="348"/>
      <c r="B15" s="348"/>
      <c r="C15" s="348"/>
      <c r="D15" s="348"/>
      <c r="E15" s="348"/>
      <c r="F15" s="348"/>
      <c r="G15" s="348"/>
      <c r="H15" s="348"/>
    </row>
    <row r="16" spans="1:18" ht="34.15" customHeight="1">
      <c r="A16" s="160" t="s">
        <v>54</v>
      </c>
      <c r="G16" s="161"/>
    </row>
    <row r="17" spans="1:25" ht="44.45" customHeight="1">
      <c r="D17" s="257" t="str">
        <f>'Исходные данные'!E39</f>
        <v>RUB</v>
      </c>
      <c r="E17" s="257"/>
      <c r="F17" s="257"/>
      <c r="G17" s="257" t="str">
        <f>"В валюте, в которой производиться расчет, "&amp;CHOOSE('Исходные данные'!$S$2,'Исходные данные'!$T$2,'Исходные данные'!$T$3,'Исходные данные'!$T$4,'Исходные данные'!$T$5)&amp;""</f>
        <v>В валюте, в которой производиться расчет, RUB</v>
      </c>
      <c r="H17" s="257"/>
      <c r="I17" s="163"/>
      <c r="J17" s="163"/>
      <c r="M17" s="164"/>
      <c r="N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</row>
    <row r="18" spans="1:25" ht="42" customHeight="1">
      <c r="A18" s="163"/>
      <c r="B18" s="288" t="str">
        <f>'Исходные данные'!B40:C40</f>
        <v>Ремонт помещения</v>
      </c>
      <c r="C18" s="289"/>
      <c r="D18" s="230">
        <f>'Исходные данные'!E40</f>
        <v>30000</v>
      </c>
      <c r="E18" s="231"/>
      <c r="F18" s="232"/>
      <c r="G18" s="270">
        <f>D18/CHOOSE('Исходные данные'!$S$2,1,'Исходные данные'!$G$5,'Исходные данные'!$K$5,'Исходные данные'!$N$5)</f>
        <v>30000</v>
      </c>
      <c r="H18" s="270"/>
      <c r="I18" s="165"/>
      <c r="L18" s="164"/>
      <c r="M18" s="164"/>
      <c r="N18" s="164"/>
      <c r="P18" s="164"/>
      <c r="Q18" s="164"/>
      <c r="R18" s="164"/>
      <c r="S18" s="164"/>
      <c r="T18" s="164"/>
      <c r="U18" s="164"/>
      <c r="V18" s="164"/>
      <c r="W18" s="164"/>
      <c r="X18" s="164"/>
    </row>
    <row r="19" spans="1:25" ht="42" customHeight="1">
      <c r="A19" s="163"/>
      <c r="B19" s="288" t="str">
        <f>'Исходные данные'!B41:C41</f>
        <v>Мебель и оборудование</v>
      </c>
      <c r="C19" s="289"/>
      <c r="D19" s="230">
        <f>'Исходные данные'!E41</f>
        <v>25000</v>
      </c>
      <c r="E19" s="231"/>
      <c r="F19" s="232"/>
      <c r="G19" s="270">
        <f>D19/CHOOSE('Исходные данные'!$S$2,1,'Исходные данные'!$G$5,'Исходные данные'!$K$5,'Исходные данные'!$N$5)</f>
        <v>25000</v>
      </c>
      <c r="H19" s="270"/>
      <c r="I19" s="165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</row>
    <row r="20" spans="1:25" ht="42" customHeight="1">
      <c r="A20" s="163"/>
      <c r="B20" s="288" t="str">
        <f>'Исходные данные'!B42:C42</f>
        <v>Офисная техника</v>
      </c>
      <c r="C20" s="289"/>
      <c r="D20" s="230">
        <f>'Исходные данные'!E42</f>
        <v>8000</v>
      </c>
      <c r="E20" s="231"/>
      <c r="F20" s="232"/>
      <c r="G20" s="270">
        <f>D20/CHOOSE('Исходные данные'!$S$2,1,'Исходные данные'!$G$5,'Исходные данные'!$K$5,'Исходные данные'!$N$5)</f>
        <v>8000</v>
      </c>
      <c r="H20" s="270"/>
      <c r="I20" s="165"/>
      <c r="L20" s="164"/>
      <c r="M20" s="164"/>
      <c r="N20" s="164"/>
      <c r="P20" s="164"/>
      <c r="Q20" s="164"/>
      <c r="R20" s="164"/>
      <c r="S20" s="164"/>
      <c r="T20" s="164"/>
      <c r="U20" s="164"/>
      <c r="V20" s="164"/>
      <c r="W20" s="164"/>
      <c r="X20" s="164"/>
    </row>
    <row r="21" spans="1:25" ht="42" customHeight="1">
      <c r="A21" s="163"/>
      <c r="B21" s="288" t="str">
        <f>'Исходные данные'!B43:C43</f>
        <v>Компьютеры</v>
      </c>
      <c r="C21" s="289"/>
      <c r="D21" s="230">
        <f>'Исходные данные'!E43</f>
        <v>15000</v>
      </c>
      <c r="E21" s="231"/>
      <c r="F21" s="232"/>
      <c r="G21" s="270">
        <f>D21/CHOOSE('Исходные данные'!$S$2,1,'Исходные данные'!$G$5,'Исходные данные'!$K$5,'Исходные данные'!$N$5)</f>
        <v>15000</v>
      </c>
      <c r="H21" s="270"/>
      <c r="I21" s="165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</row>
    <row r="22" spans="1:25" ht="42" customHeight="1">
      <c r="A22" s="166"/>
      <c r="B22" s="288" t="str">
        <f>'Исходные данные'!B44:C44</f>
        <v>Оборудование</v>
      </c>
      <c r="C22" s="289"/>
      <c r="D22" s="230">
        <f>'Исходные данные'!E44</f>
        <v>100000</v>
      </c>
      <c r="E22" s="231"/>
      <c r="F22" s="232"/>
      <c r="G22" s="270">
        <f>D22/CHOOSE('Исходные данные'!$S$2,1,'Исходные данные'!$G$5,'Исходные данные'!$K$5,'Исходные данные'!$N$5)</f>
        <v>100000</v>
      </c>
      <c r="H22" s="270"/>
      <c r="I22" s="165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</row>
    <row r="23" spans="1:25" ht="42" customHeight="1">
      <c r="A23" s="166"/>
      <c r="B23" s="288" t="str">
        <f>'Исходные данные'!B45:C45</f>
        <v>Видеонаблюдение</v>
      </c>
      <c r="C23" s="289"/>
      <c r="D23" s="230">
        <f>'Исходные данные'!E45</f>
        <v>0</v>
      </c>
      <c r="E23" s="231"/>
      <c r="F23" s="232"/>
      <c r="G23" s="270">
        <f>D23/CHOOSE('Исходные данные'!$S$2,1,'Исходные данные'!$G$5,'Исходные данные'!$K$5,'Исходные данные'!$N$5)</f>
        <v>0</v>
      </c>
      <c r="H23" s="270"/>
      <c r="I23" s="165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</row>
    <row r="24" spans="1:25" ht="42" customHeight="1">
      <c r="A24" s="166"/>
      <c r="B24" s="288" t="str">
        <f>'Исходные данные'!B46:C46</f>
        <v>Сигнализация (охранная и пожарная)</v>
      </c>
      <c r="C24" s="289"/>
      <c r="D24" s="230">
        <f>'Исходные данные'!E46</f>
        <v>0</v>
      </c>
      <c r="E24" s="231"/>
      <c r="F24" s="232"/>
      <c r="G24" s="270">
        <f>D24/CHOOSE('Исходные данные'!$S$2,1,'Исходные данные'!$G$5,'Исходные данные'!$K$5,'Исходные данные'!$N$5)</f>
        <v>0</v>
      </c>
      <c r="H24" s="270"/>
      <c r="I24" s="165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</row>
    <row r="25" spans="1:25" ht="42" customHeight="1">
      <c r="A25" s="163"/>
      <c r="B25" s="288" t="str">
        <f>'Исходные данные'!B47:C47</f>
        <v>Рекламная кампания</v>
      </c>
      <c r="C25" s="289"/>
      <c r="D25" s="230">
        <f>'Исходные данные'!E47</f>
        <v>50000</v>
      </c>
      <c r="E25" s="231"/>
      <c r="F25" s="232"/>
      <c r="G25" s="270">
        <f>D25/CHOOSE('Исходные данные'!$S$2,1,'Исходные данные'!$G$5,'Исходные данные'!$K$5,'Исходные данные'!$N$5)</f>
        <v>50000</v>
      </c>
      <c r="H25" s="270"/>
      <c r="I25" s="165"/>
      <c r="L25" s="164"/>
      <c r="M25" s="164"/>
      <c r="N25" s="164"/>
      <c r="P25" s="164"/>
      <c r="Q25" s="164"/>
      <c r="R25" s="164"/>
      <c r="S25" s="164"/>
      <c r="T25" s="164"/>
      <c r="U25" s="164"/>
      <c r="V25" s="164"/>
      <c r="W25" s="164"/>
      <c r="X25" s="164"/>
    </row>
    <row r="26" spans="1:25" ht="42" customHeight="1">
      <c r="A26" s="163"/>
      <c r="B26" s="288" t="str">
        <f>'Исходные данные'!B48:C48</f>
        <v>Паушальный взнос</v>
      </c>
      <c r="C26" s="289"/>
      <c r="D26" s="230">
        <f>'Исходные данные'!E48</f>
        <v>200000</v>
      </c>
      <c r="E26" s="231"/>
      <c r="F26" s="232"/>
      <c r="G26" s="270">
        <f>D26/CHOOSE('Исходные данные'!$S$2,1,'Исходные данные'!$G$5,'Исходные данные'!$K$5,'Исходные данные'!$N$5)</f>
        <v>200000</v>
      </c>
      <c r="H26" s="270"/>
      <c r="I26" s="165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</row>
    <row r="27" spans="1:25" ht="42" customHeight="1">
      <c r="A27" s="163"/>
      <c r="B27" s="288" t="str">
        <f>'Исходные данные'!B49:C49</f>
        <v>Прочее</v>
      </c>
      <c r="C27" s="289"/>
      <c r="D27" s="230">
        <f>'Исходные данные'!E49</f>
        <v>10000</v>
      </c>
      <c r="E27" s="231"/>
      <c r="F27" s="232"/>
      <c r="G27" s="270">
        <f>D27/CHOOSE('Исходные данные'!$S$2,1,'Исходные данные'!$G$5,'Исходные данные'!$K$5,'Исходные данные'!$N$5)</f>
        <v>10000</v>
      </c>
      <c r="H27" s="270"/>
      <c r="I27" s="165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</row>
    <row r="28" spans="1:25" ht="42" customHeight="1">
      <c r="A28" s="163"/>
      <c r="B28" s="314" t="s">
        <v>0</v>
      </c>
      <c r="C28" s="315"/>
      <c r="D28" s="267">
        <f>SUM(D18:F27)</f>
        <v>438000</v>
      </c>
      <c r="E28" s="268"/>
      <c r="F28" s="269"/>
      <c r="G28" s="298">
        <f>SUM(G18:H27)</f>
        <v>438000</v>
      </c>
      <c r="H28" s="298"/>
      <c r="I28" s="165"/>
      <c r="J28" s="167"/>
      <c r="L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</row>
    <row r="29" spans="1:25" ht="34.15" customHeight="1">
      <c r="A29" s="293"/>
      <c r="B29" s="293"/>
      <c r="C29" s="293"/>
      <c r="D29" s="293"/>
      <c r="E29" s="293"/>
      <c r="F29" s="293"/>
      <c r="G29" s="293"/>
      <c r="H29" s="293"/>
      <c r="I29" s="165"/>
      <c r="L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</row>
    <row r="30" spans="1:25" ht="34.15" customHeight="1">
      <c r="A30" s="146" t="s">
        <v>1</v>
      </c>
      <c r="E30" s="168"/>
      <c r="G30" s="287"/>
      <c r="H30" s="287"/>
      <c r="J30" s="148"/>
    </row>
    <row r="31" spans="1:25" ht="34.15" customHeight="1">
      <c r="A31" s="146"/>
      <c r="D31" s="287" t="s">
        <v>73</v>
      </c>
      <c r="E31" s="287"/>
      <c r="G31" s="340" t="s">
        <v>91</v>
      </c>
      <c r="H31" s="340"/>
      <c r="J31" s="148"/>
    </row>
    <row r="32" spans="1:25" ht="42" customHeight="1">
      <c r="A32" s="146"/>
      <c r="D32" s="340"/>
      <c r="E32" s="340"/>
      <c r="G32" s="169" t="str">
        <f>D17</f>
        <v>RUB</v>
      </c>
      <c r="H32" s="169" t="str">
        <f>G17</f>
        <v>В валюте, в которой производиться расчет, RUB</v>
      </c>
      <c r="J32" s="148"/>
    </row>
    <row r="33" spans="1:25" ht="42" customHeight="1">
      <c r="A33" s="147"/>
      <c r="B33" s="288" t="s">
        <v>161</v>
      </c>
      <c r="C33" s="289"/>
      <c r="D33" s="328">
        <f>H33/'Детальный расчет'!$P$23</f>
        <v>0.3997277059223962</v>
      </c>
      <c r="E33" s="328"/>
      <c r="G33" s="207">
        <f>H33*CHOOSE('Исходные данные'!$S$2,1,'Исходные данные'!$G$5,'Исходные данные'!$K$5,'Исходные данные'!$N$5)</f>
        <v>146800</v>
      </c>
      <c r="H33" s="207">
        <f>'Детальный расчет'!P32</f>
        <v>146800</v>
      </c>
    </row>
    <row r="34" spans="1:25" ht="42" customHeight="1">
      <c r="A34" s="147"/>
      <c r="B34" s="288" t="s">
        <v>43</v>
      </c>
      <c r="C34" s="289"/>
      <c r="D34" s="328">
        <f>H34/'Детальный расчет'!$P$23</f>
        <v>0.20422055820285909</v>
      </c>
      <c r="E34" s="328"/>
      <c r="G34" s="170">
        <f>H34*CHOOSE('Исходные данные'!$S$2,1,'Исходные данные'!$G$5,'Исходные данные'!$K$5,'Исходные данные'!$N$5)</f>
        <v>75000</v>
      </c>
      <c r="H34" s="207">
        <f>'Детальный расчет'!P49</f>
        <v>75000</v>
      </c>
    </row>
    <row r="35" spans="1:25" ht="42" customHeight="1">
      <c r="A35" s="171"/>
      <c r="B35" s="288" t="str">
        <f>'Исходные данные'!B64:D64</f>
        <v>Роялти</v>
      </c>
      <c r="C35" s="289"/>
      <c r="D35" s="328">
        <f>H35/'Детальный расчет'!$P$23</f>
        <v>2.722940776038121E-2</v>
      </c>
      <c r="E35" s="328"/>
      <c r="F35" s="172"/>
      <c r="G35" s="170">
        <f>'Исходные данные'!E64</f>
        <v>10000</v>
      </c>
      <c r="H35" s="173">
        <f>G35/CHOOSE('Исходные данные'!$S$2,1,'Исходные данные'!$G$5,'Исходные данные'!$K$5,'Исходные данные'!$N$5)</f>
        <v>10000</v>
      </c>
    </row>
    <row r="36" spans="1:25" ht="42" customHeight="1">
      <c r="A36" s="174"/>
      <c r="B36" s="288" t="str">
        <f>'Исходные данные'!B65:D65</f>
        <v>Маркетинговое сопровождение</v>
      </c>
      <c r="C36" s="289"/>
      <c r="D36" s="328">
        <f>H36/'Детальный расчет'!$P$23</f>
        <v>1.0891763104152484E-2</v>
      </c>
      <c r="E36" s="328"/>
      <c r="F36" s="172"/>
      <c r="G36" s="207">
        <f>'Исходные данные'!E65</f>
        <v>4000</v>
      </c>
      <c r="H36" s="173">
        <f>G36/CHOOSE('Исходные данные'!$S$2,1,'Исходные данные'!$G$5,'Исходные данные'!$K$5,'Исходные данные'!$N$5)</f>
        <v>4000</v>
      </c>
    </row>
    <row r="37" spans="1:25" ht="42" customHeight="1">
      <c r="A37" s="163"/>
      <c r="B37" s="288" t="str">
        <f>'Исходные данные'!B66:D66</f>
        <v>Аренда</v>
      </c>
      <c r="C37" s="289"/>
      <c r="D37" s="328">
        <f>H37/'Детальный расчет'!$P$23</f>
        <v>3.4036759700476517E-2</v>
      </c>
      <c r="E37" s="328"/>
      <c r="F37" s="175"/>
      <c r="G37" s="170">
        <f>'Исходные данные'!E66</f>
        <v>12500</v>
      </c>
      <c r="H37" s="173">
        <f>G37/CHOOSE('Исходные данные'!$S$2,1,'Исходные данные'!$G$5,'Исходные данные'!$K$5,'Исходные данные'!$N$5)</f>
        <v>12500</v>
      </c>
      <c r="I37" s="176"/>
      <c r="J37" s="163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</row>
    <row r="38" spans="1:25" ht="42" customHeight="1">
      <c r="A38" s="163"/>
      <c r="B38" s="288" t="str">
        <f>'Исходные данные'!B67:D67</f>
        <v>Коммунальные платежи</v>
      </c>
      <c r="C38" s="289"/>
      <c r="D38" s="328">
        <f>H38/'Детальный расчет'!$P$23</f>
        <v>6.8073519400953025E-3</v>
      </c>
      <c r="E38" s="328"/>
      <c r="F38" s="175"/>
      <c r="G38" s="170">
        <f>'Исходные данные'!E67</f>
        <v>2500</v>
      </c>
      <c r="H38" s="173">
        <f>G38/CHOOSE('Исходные данные'!$S$2,1,'Исходные данные'!$G$5,'Исходные данные'!$K$5,'Исходные данные'!$N$5)</f>
        <v>2500</v>
      </c>
      <c r="I38" s="176"/>
      <c r="J38" s="163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</row>
    <row r="39" spans="1:25" ht="42" customHeight="1">
      <c r="A39" s="147"/>
      <c r="B39" s="288" t="str">
        <f>'Исходные данные'!B68:D68</f>
        <v>Хозяйственные нужды</v>
      </c>
      <c r="C39" s="289"/>
      <c r="D39" s="328">
        <f>H39/'Детальный расчет'!$P$23</f>
        <v>2.722940776038121E-3</v>
      </c>
      <c r="E39" s="328"/>
      <c r="G39" s="170">
        <f>'Исходные данные'!E68</f>
        <v>1000</v>
      </c>
      <c r="H39" s="173">
        <f>G39/CHOOSE('Исходные данные'!$S$2,1,'Исходные данные'!$G$5,'Исходные данные'!$K$5,'Исходные данные'!$N$5)</f>
        <v>1000</v>
      </c>
    </row>
    <row r="40" spans="1:25" ht="42" customHeight="1">
      <c r="A40" s="147"/>
      <c r="B40" s="288" t="str">
        <f>'Исходные данные'!B69:D69</f>
        <v>Офисные расходы</v>
      </c>
      <c r="C40" s="289"/>
      <c r="D40" s="328">
        <f>H40/'Детальный расчет'!$P$23</f>
        <v>1.3614703880190605E-3</v>
      </c>
      <c r="E40" s="328"/>
      <c r="G40" s="170">
        <f>'Исходные данные'!E69</f>
        <v>500</v>
      </c>
      <c r="H40" s="173">
        <f>G40/CHOOSE('Исходные данные'!$S$2,1,'Исходные данные'!$G$5,'Исходные данные'!$K$5,'Исходные данные'!$N$5)</f>
        <v>500</v>
      </c>
    </row>
    <row r="41" spans="1:25" ht="42" customHeight="1">
      <c r="A41" s="147"/>
      <c r="B41" s="288" t="s">
        <v>110</v>
      </c>
      <c r="C41" s="289"/>
      <c r="D41" s="328">
        <f>H41/'Детальный расчет'!$P$23</f>
        <v>0</v>
      </c>
      <c r="E41" s="328"/>
      <c r="G41" s="170">
        <f>H41*CHOOSE('Исходные данные'!$S$2,1,'Исходные данные'!$G$5,'Исходные данные'!$K$5,'Исходные данные'!$N$5)</f>
        <v>0</v>
      </c>
      <c r="H41" s="173">
        <f>'Детальный расчет'!P56</f>
        <v>0</v>
      </c>
    </row>
    <row r="42" spans="1:25" ht="42" customHeight="1">
      <c r="A42" s="147"/>
      <c r="B42" s="288" t="str">
        <f>'Исходные данные'!B71:D71</f>
        <v>Охрана</v>
      </c>
      <c r="C42" s="289"/>
      <c r="D42" s="328">
        <f>H42/'Детальный расчет'!$P$23</f>
        <v>0</v>
      </c>
      <c r="E42" s="328"/>
      <c r="G42" s="170">
        <f>'Исходные данные'!E71</f>
        <v>0</v>
      </c>
      <c r="H42" s="173">
        <f>G42/CHOOSE('Исходные данные'!$S$2,1,'Исходные данные'!$G$5,'Исходные данные'!$K$5,'Исходные данные'!$N$5)</f>
        <v>0</v>
      </c>
    </row>
    <row r="43" spans="1:25" ht="42" customHeight="1">
      <c r="A43" s="147"/>
      <c r="B43" s="288" t="str">
        <f>'Исходные данные'!B72:D72</f>
        <v>Услуги связи и интернет</v>
      </c>
      <c r="C43" s="289"/>
      <c r="D43" s="328">
        <f>H43/'Детальный расчет'!$P$23</f>
        <v>8.1688223281143636E-4</v>
      </c>
      <c r="E43" s="328"/>
      <c r="G43" s="170">
        <f>'Исходные данные'!E72</f>
        <v>300</v>
      </c>
      <c r="H43" s="173">
        <f>G43/CHOOSE('Исходные данные'!$S$2,1,'Исходные данные'!$G$5,'Исходные данные'!$K$5,'Исходные данные'!$N$5)</f>
        <v>300</v>
      </c>
    </row>
    <row r="44" spans="1:25" ht="42" customHeight="1">
      <c r="A44" s="147"/>
      <c r="B44" s="288" t="str">
        <f>'Исходные данные'!B73:D73</f>
        <v>Текущий ремонт</v>
      </c>
      <c r="C44" s="289"/>
      <c r="D44" s="328">
        <f>H44/'Детальный расчет'!$P$23</f>
        <v>0</v>
      </c>
      <c r="E44" s="328"/>
      <c r="G44" s="170">
        <f>'Исходные данные'!E73</f>
        <v>0</v>
      </c>
      <c r="H44" s="173">
        <f>G44/CHOOSE('Исходные данные'!$S$2,1,'Исходные данные'!$G$5,'Исходные данные'!$K$5,'Исходные данные'!$N$5)</f>
        <v>0</v>
      </c>
    </row>
    <row r="45" spans="1:25" ht="42" customHeight="1">
      <c r="A45" s="147"/>
      <c r="B45" s="288" t="s">
        <v>111</v>
      </c>
      <c r="C45" s="289"/>
      <c r="D45" s="328">
        <f>H45/'Детальный расчет'!$P$23</f>
        <v>1.3614703880190605E-3</v>
      </c>
      <c r="E45" s="328"/>
      <c r="G45" s="170">
        <f>H45*CHOOSE('Исходные данные'!$S$2,1,'Исходные данные'!$G$5,'Исходные данные'!$K$5,'Исходные данные'!$N$5)</f>
        <v>500</v>
      </c>
      <c r="H45" s="173">
        <f>'Детальный расчет'!P60</f>
        <v>500</v>
      </c>
    </row>
    <row r="46" spans="1:25" ht="42" customHeight="1">
      <c r="A46" s="147"/>
      <c r="B46" s="288" t="str">
        <f>'Исходные данные'!B75:D75</f>
        <v>Рекламные мероприятия</v>
      </c>
      <c r="C46" s="289"/>
      <c r="D46" s="328">
        <f>H46/'Детальный расчет'!$P$23</f>
        <v>1.3614703880190605E-2</v>
      </c>
      <c r="E46" s="328"/>
      <c r="G46" s="170">
        <f>'Исходные данные'!E75</f>
        <v>5000</v>
      </c>
      <c r="H46" s="173">
        <f>G46/CHOOSE('Исходные данные'!$S$2,1,'Исходные данные'!$G$5,'Исходные данные'!$K$5,'Исходные данные'!$N$5)</f>
        <v>5000</v>
      </c>
    </row>
    <row r="47" spans="1:25" ht="42" customHeight="1">
      <c r="A47" s="147"/>
      <c r="B47" s="288" t="str">
        <f>'Исходные данные'!B76:D76</f>
        <v>Банковское обслуживание</v>
      </c>
      <c r="C47" s="289"/>
      <c r="D47" s="328">
        <f>H47/'Детальный расчет'!$P$23</f>
        <v>0</v>
      </c>
      <c r="E47" s="328"/>
      <c r="F47" s="172"/>
      <c r="G47" s="207">
        <f>'Исходные данные'!E76</f>
        <v>0</v>
      </c>
      <c r="H47" s="173">
        <f>G47/CHOOSE('Исходные данные'!$S$2,1,'Исходные данные'!$G$5,'Исходные данные'!$K$5,'Исходные данные'!$N$5)</f>
        <v>0</v>
      </c>
    </row>
    <row r="48" spans="1:25" ht="42" customHeight="1">
      <c r="A48" s="147"/>
      <c r="B48" s="288" t="s">
        <v>158</v>
      </c>
      <c r="C48" s="289"/>
      <c r="D48" s="328">
        <f>H48/'Детальный расчет'!$P$23</f>
        <v>6.1674608577263444E-2</v>
      </c>
      <c r="E48" s="328"/>
      <c r="F48" s="172"/>
      <c r="G48" s="207">
        <f>H48*CHOOSE('Исходные данные'!$S$2,1,'Исходные данные'!$G$5,'Исходные данные'!$K$5,'Исходные данные'!$N$5)</f>
        <v>22650</v>
      </c>
      <c r="H48" s="173">
        <f>'Детальный расчет'!P63</f>
        <v>22650</v>
      </c>
    </row>
    <row r="49" spans="1:24" ht="42" customHeight="1">
      <c r="A49" s="147"/>
      <c r="B49" s="288" t="s">
        <v>74</v>
      </c>
      <c r="C49" s="289"/>
      <c r="D49" s="328">
        <f>H49/'Детальный расчет'!$P$23</f>
        <v>0.01</v>
      </c>
      <c r="E49" s="328"/>
      <c r="F49" s="172"/>
      <c r="G49" s="207">
        <f>H49*CHOOSE('Исходные данные'!$S$2,1,'Исходные данные'!$G$5,'Исходные данные'!$K$5,'Исходные данные'!$N$5)</f>
        <v>3672.5</v>
      </c>
      <c r="H49" s="173">
        <f>'Детальный расчет'!P64</f>
        <v>3672.5</v>
      </c>
    </row>
    <row r="50" spans="1:24" ht="42" customHeight="1">
      <c r="A50" s="147"/>
      <c r="B50" s="288" t="str">
        <f>'Исходные данные'!B81:D81</f>
        <v>Прочее</v>
      </c>
      <c r="C50" s="289"/>
      <c r="D50" s="328">
        <f>H50/'Детальный расчет'!$P$23</f>
        <v>0</v>
      </c>
      <c r="E50" s="328"/>
      <c r="G50" s="170">
        <f>'Исходные данные'!E81</f>
        <v>0</v>
      </c>
      <c r="H50" s="173">
        <f>G50/CHOOSE('Исходные данные'!$S$2,1,'Исходные данные'!$G$5,'Исходные данные'!$K$5,'Исходные данные'!$N$5)</f>
        <v>0</v>
      </c>
    </row>
    <row r="51" spans="1:24" ht="34.15" customHeight="1">
      <c r="A51" s="147"/>
      <c r="B51" s="334" t="s">
        <v>3</v>
      </c>
      <c r="C51" s="334"/>
      <c r="D51" s="335">
        <f>SUM(D33:E50)</f>
        <v>0.77446562287270238</v>
      </c>
      <c r="E51" s="335"/>
      <c r="G51" s="177">
        <f>SUM(G33:G50)</f>
        <v>284422.5</v>
      </c>
      <c r="H51" s="177">
        <f>SUM(H33:H50)</f>
        <v>284422.5</v>
      </c>
    </row>
    <row r="52" spans="1:24" ht="36.6" customHeight="1">
      <c r="A52" s="293"/>
      <c r="B52" s="293"/>
      <c r="C52" s="293"/>
      <c r="D52" s="293"/>
      <c r="E52" s="293"/>
      <c r="F52" s="293"/>
      <c r="G52" s="293"/>
      <c r="H52" s="293"/>
      <c r="I52" s="165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</row>
    <row r="53" spans="1:24" ht="40.5" customHeight="1">
      <c r="A53" s="147"/>
      <c r="B53" s="147"/>
      <c r="C53" s="147"/>
      <c r="D53" s="339" t="s">
        <v>109</v>
      </c>
      <c r="E53" s="339"/>
      <c r="F53" s="339" t="str">
        <f>H32</f>
        <v>В валюте, в которой производиться расчет, RUB</v>
      </c>
      <c r="G53" s="339"/>
      <c r="H53" s="147"/>
    </row>
    <row r="54" spans="1:24" ht="45" customHeight="1">
      <c r="A54" s="329" t="s">
        <v>58</v>
      </c>
      <c r="B54" s="329"/>
      <c r="C54" s="330"/>
      <c r="D54" s="336">
        <f>F54*CHOOSE('Исходные данные'!$S$2,1,'Исходные данные'!$G$5,'Исходные данные'!$K$5,'Исходные данные'!$N$5)</f>
        <v>82827.5</v>
      </c>
      <c r="E54" s="337">
        <f>F54/CHOOSE('Исходные данные'!$S$2,1,'Исходные данные'!$G$5,'Исходные данные'!$K$5,'Исходные данные'!$N$5)</f>
        <v>82827.5</v>
      </c>
      <c r="F54" s="336">
        <f>'Детальный расчет'!P75</f>
        <v>82827.5</v>
      </c>
      <c r="G54" s="337"/>
      <c r="H54" s="178"/>
    </row>
    <row r="55" spans="1:24" ht="8.1" customHeight="1">
      <c r="A55" s="147"/>
      <c r="B55" s="147"/>
      <c r="C55" s="147"/>
      <c r="D55" s="338"/>
      <c r="E55" s="338"/>
      <c r="F55" s="338"/>
      <c r="G55" s="338"/>
      <c r="H55" s="179"/>
    </row>
    <row r="56" spans="1:24" ht="45" customHeight="1">
      <c r="A56" s="329" t="s">
        <v>59</v>
      </c>
      <c r="B56" s="329"/>
      <c r="C56" s="330"/>
      <c r="D56" s="336">
        <f>F56*CHOOSE('Исходные данные'!$S$2,1,'Исходные данные'!$G$5,'Исходные данные'!$K$5,'Исходные данные'!$N$5)</f>
        <v>118512</v>
      </c>
      <c r="E56" s="337">
        <f>F56/CHOOSE('Исходные данные'!$S$2,1,'Исходные данные'!$G$5,'Исходные данные'!$K$5,'Исходные данные'!$N$5)</f>
        <v>118512</v>
      </c>
      <c r="F56" s="336">
        <f>'Детальный расчет'!AD75</f>
        <v>118512</v>
      </c>
      <c r="G56" s="337"/>
      <c r="H56" s="178"/>
    </row>
    <row r="57" spans="1:24" ht="8.1" customHeight="1">
      <c r="A57" s="147"/>
      <c r="B57" s="147"/>
      <c r="C57" s="147"/>
      <c r="D57" s="338"/>
      <c r="E57" s="338"/>
      <c r="F57" s="338"/>
      <c r="G57" s="338"/>
      <c r="H57" s="179"/>
    </row>
    <row r="58" spans="1:24" ht="45" customHeight="1">
      <c r="A58" s="329" t="s">
        <v>60</v>
      </c>
      <c r="B58" s="329"/>
      <c r="C58" s="330"/>
      <c r="D58" s="336">
        <f>F58*CHOOSE('Исходные данные'!$S$2,1,'Исходные данные'!$G$5,'Исходные данные'!$K$5,'Исходные данные'!$N$5)</f>
        <v>144314</v>
      </c>
      <c r="E58" s="337">
        <f>F58/CHOOSE('Исходные данные'!$S$2,1,'Исходные данные'!$G$5,'Исходные данные'!$K$5,'Исходные данные'!$N$5)</f>
        <v>144314</v>
      </c>
      <c r="F58" s="336">
        <f>'Детальный расчет'!AR75</f>
        <v>144314</v>
      </c>
      <c r="G58" s="337"/>
      <c r="H58" s="178"/>
    </row>
    <row r="59" spans="1:24" ht="8.1" customHeight="1">
      <c r="A59" s="147"/>
      <c r="B59" s="147"/>
      <c r="C59" s="147"/>
      <c r="D59" s="147"/>
      <c r="E59" s="147"/>
      <c r="F59" s="147"/>
      <c r="G59" s="180"/>
      <c r="H59" s="180"/>
    </row>
    <row r="60" spans="1:24" ht="45" customHeight="1">
      <c r="A60" s="332" t="s">
        <v>46</v>
      </c>
      <c r="B60" s="332"/>
      <c r="C60" s="333"/>
      <c r="D60" s="331">
        <f>'Детальный расчет'!B101</f>
        <v>2</v>
      </c>
      <c r="E60" s="331"/>
      <c r="F60" s="331"/>
      <c r="G60" s="331"/>
      <c r="H60" s="181" t="s">
        <v>4</v>
      </c>
    </row>
    <row r="61" spans="1:24" ht="8.1" customHeight="1">
      <c r="A61" s="147"/>
      <c r="B61" s="147"/>
      <c r="C61" s="147"/>
      <c r="D61" s="147"/>
      <c r="E61" s="147"/>
      <c r="F61" s="147"/>
      <c r="G61" s="180"/>
      <c r="H61" s="180"/>
    </row>
    <row r="62" spans="1:24" ht="45" customHeight="1">
      <c r="A62" s="329" t="s">
        <v>70</v>
      </c>
      <c r="B62" s="329"/>
      <c r="C62" s="330"/>
      <c r="D62" s="331">
        <f>'Детальный расчет'!B100</f>
        <v>7</v>
      </c>
      <c r="E62" s="331"/>
      <c r="F62" s="331"/>
      <c r="G62" s="331"/>
      <c r="H62" s="181" t="s">
        <v>4</v>
      </c>
    </row>
    <row r="63" spans="1:24" ht="8.1" customHeight="1">
      <c r="A63" s="182"/>
      <c r="B63" s="182"/>
      <c r="C63" s="182"/>
      <c r="D63" s="182"/>
      <c r="E63" s="182"/>
      <c r="F63" s="182"/>
      <c r="G63" s="183"/>
      <c r="H63" s="182"/>
    </row>
  </sheetData>
  <sheetProtection formatCells="0" formatColumns="0" formatRows="0" insertColumns="0" insertRows="0" insertHyperlinks="0" deleteColumns="0" deleteRows="0" sort="0" autoFilter="0" pivotTables="0"/>
  <mergeCells count="111">
    <mergeCell ref="A1:H1"/>
    <mergeCell ref="A2:D2"/>
    <mergeCell ref="G17:H17"/>
    <mergeCell ref="A15:H15"/>
    <mergeCell ref="B22:C22"/>
    <mergeCell ref="D22:F22"/>
    <mergeCell ref="G22:H22"/>
    <mergeCell ref="B23:C23"/>
    <mergeCell ref="D23:F23"/>
    <mergeCell ref="G23:H23"/>
    <mergeCell ref="B18:C18"/>
    <mergeCell ref="D18:F18"/>
    <mergeCell ref="B19:C19"/>
    <mergeCell ref="D19:F19"/>
    <mergeCell ref="G18:H18"/>
    <mergeCell ref="G19:H19"/>
    <mergeCell ref="B20:C20"/>
    <mergeCell ref="D20:F20"/>
    <mergeCell ref="G20:H20"/>
    <mergeCell ref="E6:F6"/>
    <mergeCell ref="B21:C21"/>
    <mergeCell ref="D21:F21"/>
    <mergeCell ref="G21:H21"/>
    <mergeCell ref="C6:D6"/>
    <mergeCell ref="G6:H6"/>
    <mergeCell ref="A6:B7"/>
    <mergeCell ref="A8:B8"/>
    <mergeCell ref="A9:B9"/>
    <mergeCell ref="A10:B10"/>
    <mergeCell ref="B25:C25"/>
    <mergeCell ref="D25:F25"/>
    <mergeCell ref="B26:C26"/>
    <mergeCell ref="D26:F26"/>
    <mergeCell ref="G24:H24"/>
    <mergeCell ref="G25:H25"/>
    <mergeCell ref="A14:B14"/>
    <mergeCell ref="B24:C24"/>
    <mergeCell ref="D24:F24"/>
    <mergeCell ref="D17:F17"/>
    <mergeCell ref="D40:E40"/>
    <mergeCell ref="G26:H26"/>
    <mergeCell ref="B27:C27"/>
    <mergeCell ref="D27:F27"/>
    <mergeCell ref="B35:C35"/>
    <mergeCell ref="D35:E35"/>
    <mergeCell ref="B36:C36"/>
    <mergeCell ref="D36:E36"/>
    <mergeCell ref="B37:C37"/>
    <mergeCell ref="D37:E37"/>
    <mergeCell ref="G30:H30"/>
    <mergeCell ref="G31:H31"/>
    <mergeCell ref="B34:C34"/>
    <mergeCell ref="D34:E34"/>
    <mergeCell ref="D31:E32"/>
    <mergeCell ref="B28:C28"/>
    <mergeCell ref="D28:F28"/>
    <mergeCell ref="G27:H27"/>
    <mergeCell ref="G28:H28"/>
    <mergeCell ref="A29:H29"/>
    <mergeCell ref="B38:C38"/>
    <mergeCell ref="D38:E38"/>
    <mergeCell ref="B39:C39"/>
    <mergeCell ref="D39:E39"/>
    <mergeCell ref="A62:C62"/>
    <mergeCell ref="D62:G62"/>
    <mergeCell ref="A58:C58"/>
    <mergeCell ref="A60:C60"/>
    <mergeCell ref="D60:G60"/>
    <mergeCell ref="B50:C50"/>
    <mergeCell ref="D50:E50"/>
    <mergeCell ref="B51:C51"/>
    <mergeCell ref="D51:E51"/>
    <mergeCell ref="A52:H52"/>
    <mergeCell ref="A54:C54"/>
    <mergeCell ref="A56:C56"/>
    <mergeCell ref="D56:E56"/>
    <mergeCell ref="D57:E57"/>
    <mergeCell ref="D58:E58"/>
    <mergeCell ref="F53:G53"/>
    <mergeCell ref="F54:G54"/>
    <mergeCell ref="F55:G55"/>
    <mergeCell ref="F56:G56"/>
    <mergeCell ref="F57:G57"/>
    <mergeCell ref="F58:G58"/>
    <mergeCell ref="D53:E53"/>
    <mergeCell ref="D54:E54"/>
    <mergeCell ref="D55:E55"/>
    <mergeCell ref="A11:B11"/>
    <mergeCell ref="A12:B12"/>
    <mergeCell ref="A13:B13"/>
    <mergeCell ref="B49:C49"/>
    <mergeCell ref="D49:E49"/>
    <mergeCell ref="B33:C33"/>
    <mergeCell ref="D33:E33"/>
    <mergeCell ref="B48:C48"/>
    <mergeCell ref="D48:E48"/>
    <mergeCell ref="B45:C45"/>
    <mergeCell ref="D45:E45"/>
    <mergeCell ref="B47:C47"/>
    <mergeCell ref="D47:E47"/>
    <mergeCell ref="B41:C41"/>
    <mergeCell ref="D41:E41"/>
    <mergeCell ref="D42:E42"/>
    <mergeCell ref="B46:C46"/>
    <mergeCell ref="D46:E46"/>
    <mergeCell ref="B43:C43"/>
    <mergeCell ref="D43:E43"/>
    <mergeCell ref="B44:C44"/>
    <mergeCell ref="D44:E44"/>
    <mergeCell ref="B42:C42"/>
    <mergeCell ref="B40:C40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32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119"/>
  <sheetViews>
    <sheetView tabSelected="1" zoomScale="90" zoomScaleNormal="90" zoomScaleSheetLayoutView="70" workbookViewId="0">
      <pane xSplit="2" ySplit="16" topLeftCell="C17" activePane="bottomRight" state="frozen"/>
      <selection pane="topRight" activeCell="C1" sqref="C1"/>
      <selection pane="bottomLeft" activeCell="A17" sqref="A17"/>
      <selection pane="bottomRight" activeCell="P32" activeCellId="1" sqref="P66 P32"/>
    </sheetView>
  </sheetViews>
  <sheetFormatPr defaultRowHeight="12.75" outlineLevelRow="1" outlineLevelCol="1"/>
  <cols>
    <col min="1" max="1" width="60" style="18" customWidth="1"/>
    <col min="2" max="2" width="12.5703125" style="18" customWidth="1"/>
    <col min="3" max="14" width="11" style="17" customWidth="1" outlineLevel="1"/>
    <col min="15" max="15" width="11" style="135" customWidth="1"/>
    <col min="16" max="16" width="13.85546875" style="135" customWidth="1"/>
    <col min="17" max="28" width="11" style="17" customWidth="1" outlineLevel="1"/>
    <col min="29" max="29" width="11" style="135" customWidth="1"/>
    <col min="30" max="30" width="14.28515625" style="135" customWidth="1"/>
    <col min="31" max="42" width="11" style="17" customWidth="1" outlineLevel="1"/>
    <col min="43" max="43" width="11" style="135" customWidth="1"/>
    <col min="44" max="44" width="14.28515625" style="135" customWidth="1"/>
    <col min="45" max="45" width="12.85546875" style="17" customWidth="1"/>
    <col min="46" max="46" width="10" style="17" bestFit="1" customWidth="1"/>
    <col min="47" max="285" width="9.140625" style="17"/>
    <col min="286" max="286" width="53" style="17" customWidth="1"/>
    <col min="287" max="287" width="14.42578125" style="17" customWidth="1"/>
    <col min="288" max="300" width="11" style="17" customWidth="1"/>
    <col min="301" max="301" width="12.85546875" style="17" customWidth="1"/>
    <col min="302" max="302" width="10" style="17" bestFit="1" customWidth="1"/>
    <col min="303" max="541" width="9.140625" style="17"/>
    <col min="542" max="542" width="53" style="17" customWidth="1"/>
    <col min="543" max="543" width="14.42578125" style="17" customWidth="1"/>
    <col min="544" max="556" width="11" style="17" customWidth="1"/>
    <col min="557" max="557" width="12.85546875" style="17" customWidth="1"/>
    <col min="558" max="558" width="10" style="17" bestFit="1" customWidth="1"/>
    <col min="559" max="797" width="9.140625" style="17"/>
    <col min="798" max="798" width="53" style="17" customWidth="1"/>
    <col min="799" max="799" width="14.42578125" style="17" customWidth="1"/>
    <col min="800" max="812" width="11" style="17" customWidth="1"/>
    <col min="813" max="813" width="12.85546875" style="17" customWidth="1"/>
    <col min="814" max="814" width="10" style="17" bestFit="1" customWidth="1"/>
    <col min="815" max="1053" width="9.140625" style="17"/>
    <col min="1054" max="1054" width="53" style="17" customWidth="1"/>
    <col min="1055" max="1055" width="14.42578125" style="17" customWidth="1"/>
    <col min="1056" max="1068" width="11" style="17" customWidth="1"/>
    <col min="1069" max="1069" width="12.85546875" style="17" customWidth="1"/>
    <col min="1070" max="1070" width="10" style="17" bestFit="1" customWidth="1"/>
    <col min="1071" max="1309" width="9.140625" style="17"/>
    <col min="1310" max="1310" width="53" style="17" customWidth="1"/>
    <col min="1311" max="1311" width="14.42578125" style="17" customWidth="1"/>
    <col min="1312" max="1324" width="11" style="17" customWidth="1"/>
    <col min="1325" max="1325" width="12.85546875" style="17" customWidth="1"/>
    <col min="1326" max="1326" width="10" style="17" bestFit="1" customWidth="1"/>
    <col min="1327" max="1565" width="9.140625" style="17"/>
    <col min="1566" max="1566" width="53" style="17" customWidth="1"/>
    <col min="1567" max="1567" width="14.42578125" style="17" customWidth="1"/>
    <col min="1568" max="1580" width="11" style="17" customWidth="1"/>
    <col min="1581" max="1581" width="12.85546875" style="17" customWidth="1"/>
    <col min="1582" max="1582" width="10" style="17" bestFit="1" customWidth="1"/>
    <col min="1583" max="1821" width="9.140625" style="17"/>
    <col min="1822" max="1822" width="53" style="17" customWidth="1"/>
    <col min="1823" max="1823" width="14.42578125" style="17" customWidth="1"/>
    <col min="1824" max="1836" width="11" style="17" customWidth="1"/>
    <col min="1837" max="1837" width="12.85546875" style="17" customWidth="1"/>
    <col min="1838" max="1838" width="10" style="17" bestFit="1" customWidth="1"/>
    <col min="1839" max="2077" width="9.140625" style="17"/>
    <col min="2078" max="2078" width="53" style="17" customWidth="1"/>
    <col min="2079" max="2079" width="14.42578125" style="17" customWidth="1"/>
    <col min="2080" max="2092" width="11" style="17" customWidth="1"/>
    <col min="2093" max="2093" width="12.85546875" style="17" customWidth="1"/>
    <col min="2094" max="2094" width="10" style="17" bestFit="1" customWidth="1"/>
    <col min="2095" max="2333" width="9.140625" style="17"/>
    <col min="2334" max="2334" width="53" style="17" customWidth="1"/>
    <col min="2335" max="2335" width="14.42578125" style="17" customWidth="1"/>
    <col min="2336" max="2348" width="11" style="17" customWidth="1"/>
    <col min="2349" max="2349" width="12.85546875" style="17" customWidth="1"/>
    <col min="2350" max="2350" width="10" style="17" bestFit="1" customWidth="1"/>
    <col min="2351" max="2589" width="9.140625" style="17"/>
    <col min="2590" max="2590" width="53" style="17" customWidth="1"/>
    <col min="2591" max="2591" width="14.42578125" style="17" customWidth="1"/>
    <col min="2592" max="2604" width="11" style="17" customWidth="1"/>
    <col min="2605" max="2605" width="12.85546875" style="17" customWidth="1"/>
    <col min="2606" max="2606" width="10" style="17" bestFit="1" customWidth="1"/>
    <col min="2607" max="2845" width="9.140625" style="17"/>
    <col min="2846" max="2846" width="53" style="17" customWidth="1"/>
    <col min="2847" max="2847" width="14.42578125" style="17" customWidth="1"/>
    <col min="2848" max="2860" width="11" style="17" customWidth="1"/>
    <col min="2861" max="2861" width="12.85546875" style="17" customWidth="1"/>
    <col min="2862" max="2862" width="10" style="17" bestFit="1" customWidth="1"/>
    <col min="2863" max="3101" width="9.140625" style="17"/>
    <col min="3102" max="3102" width="53" style="17" customWidth="1"/>
    <col min="3103" max="3103" width="14.42578125" style="17" customWidth="1"/>
    <col min="3104" max="3116" width="11" style="17" customWidth="1"/>
    <col min="3117" max="3117" width="12.85546875" style="17" customWidth="1"/>
    <col min="3118" max="3118" width="10" style="17" bestFit="1" customWidth="1"/>
    <col min="3119" max="3357" width="9.140625" style="17"/>
    <col min="3358" max="3358" width="53" style="17" customWidth="1"/>
    <col min="3359" max="3359" width="14.42578125" style="17" customWidth="1"/>
    <col min="3360" max="3372" width="11" style="17" customWidth="1"/>
    <col min="3373" max="3373" width="12.85546875" style="17" customWidth="1"/>
    <col min="3374" max="3374" width="10" style="17" bestFit="1" customWidth="1"/>
    <col min="3375" max="3613" width="9.140625" style="17"/>
    <col min="3614" max="3614" width="53" style="17" customWidth="1"/>
    <col min="3615" max="3615" width="14.42578125" style="17" customWidth="1"/>
    <col min="3616" max="3628" width="11" style="17" customWidth="1"/>
    <col min="3629" max="3629" width="12.85546875" style="17" customWidth="1"/>
    <col min="3630" max="3630" width="10" style="17" bestFit="1" customWidth="1"/>
    <col min="3631" max="3869" width="9.140625" style="17"/>
    <col min="3870" max="3870" width="53" style="17" customWidth="1"/>
    <col min="3871" max="3871" width="14.42578125" style="17" customWidth="1"/>
    <col min="3872" max="3884" width="11" style="17" customWidth="1"/>
    <col min="3885" max="3885" width="12.85546875" style="17" customWidth="1"/>
    <col min="3886" max="3886" width="10" style="17" bestFit="1" customWidth="1"/>
    <col min="3887" max="4125" width="9.140625" style="17"/>
    <col min="4126" max="4126" width="53" style="17" customWidth="1"/>
    <col min="4127" max="4127" width="14.42578125" style="17" customWidth="1"/>
    <col min="4128" max="4140" width="11" style="17" customWidth="1"/>
    <col min="4141" max="4141" width="12.85546875" style="17" customWidth="1"/>
    <col min="4142" max="4142" width="10" style="17" bestFit="1" customWidth="1"/>
    <col min="4143" max="4381" width="9.140625" style="17"/>
    <col min="4382" max="4382" width="53" style="17" customWidth="1"/>
    <col min="4383" max="4383" width="14.42578125" style="17" customWidth="1"/>
    <col min="4384" max="4396" width="11" style="17" customWidth="1"/>
    <col min="4397" max="4397" width="12.85546875" style="17" customWidth="1"/>
    <col min="4398" max="4398" width="10" style="17" bestFit="1" customWidth="1"/>
    <col min="4399" max="4637" width="9.140625" style="17"/>
    <col min="4638" max="4638" width="53" style="17" customWidth="1"/>
    <col min="4639" max="4639" width="14.42578125" style="17" customWidth="1"/>
    <col min="4640" max="4652" width="11" style="17" customWidth="1"/>
    <col min="4653" max="4653" width="12.85546875" style="17" customWidth="1"/>
    <col min="4654" max="4654" width="10" style="17" bestFit="1" customWidth="1"/>
    <col min="4655" max="4893" width="9.140625" style="17"/>
    <col min="4894" max="4894" width="53" style="17" customWidth="1"/>
    <col min="4895" max="4895" width="14.42578125" style="17" customWidth="1"/>
    <col min="4896" max="4908" width="11" style="17" customWidth="1"/>
    <col min="4909" max="4909" width="12.85546875" style="17" customWidth="1"/>
    <col min="4910" max="4910" width="10" style="17" bestFit="1" customWidth="1"/>
    <col min="4911" max="5149" width="9.140625" style="17"/>
    <col min="5150" max="5150" width="53" style="17" customWidth="1"/>
    <col min="5151" max="5151" width="14.42578125" style="17" customWidth="1"/>
    <col min="5152" max="5164" width="11" style="17" customWidth="1"/>
    <col min="5165" max="5165" width="12.85546875" style="17" customWidth="1"/>
    <col min="5166" max="5166" width="10" style="17" bestFit="1" customWidth="1"/>
    <col min="5167" max="5405" width="9.140625" style="17"/>
    <col min="5406" max="5406" width="53" style="17" customWidth="1"/>
    <col min="5407" max="5407" width="14.42578125" style="17" customWidth="1"/>
    <col min="5408" max="5420" width="11" style="17" customWidth="1"/>
    <col min="5421" max="5421" width="12.85546875" style="17" customWidth="1"/>
    <col min="5422" max="5422" width="10" style="17" bestFit="1" customWidth="1"/>
    <col min="5423" max="5661" width="9.140625" style="17"/>
    <col min="5662" max="5662" width="53" style="17" customWidth="1"/>
    <col min="5663" max="5663" width="14.42578125" style="17" customWidth="1"/>
    <col min="5664" max="5676" width="11" style="17" customWidth="1"/>
    <col min="5677" max="5677" width="12.85546875" style="17" customWidth="1"/>
    <col min="5678" max="5678" width="10" style="17" bestFit="1" customWidth="1"/>
    <col min="5679" max="5917" width="9.140625" style="17"/>
    <col min="5918" max="5918" width="53" style="17" customWidth="1"/>
    <col min="5919" max="5919" width="14.42578125" style="17" customWidth="1"/>
    <col min="5920" max="5932" width="11" style="17" customWidth="1"/>
    <col min="5933" max="5933" width="12.85546875" style="17" customWidth="1"/>
    <col min="5934" max="5934" width="10" style="17" bestFit="1" customWidth="1"/>
    <col min="5935" max="6173" width="9.140625" style="17"/>
    <col min="6174" max="6174" width="53" style="17" customWidth="1"/>
    <col min="6175" max="6175" width="14.42578125" style="17" customWidth="1"/>
    <col min="6176" max="6188" width="11" style="17" customWidth="1"/>
    <col min="6189" max="6189" width="12.85546875" style="17" customWidth="1"/>
    <col min="6190" max="6190" width="10" style="17" bestFit="1" customWidth="1"/>
    <col min="6191" max="6429" width="9.140625" style="17"/>
    <col min="6430" max="6430" width="53" style="17" customWidth="1"/>
    <col min="6431" max="6431" width="14.42578125" style="17" customWidth="1"/>
    <col min="6432" max="6444" width="11" style="17" customWidth="1"/>
    <col min="6445" max="6445" width="12.85546875" style="17" customWidth="1"/>
    <col min="6446" max="6446" width="10" style="17" bestFit="1" customWidth="1"/>
    <col min="6447" max="6685" width="9.140625" style="17"/>
    <col min="6686" max="6686" width="53" style="17" customWidth="1"/>
    <col min="6687" max="6687" width="14.42578125" style="17" customWidth="1"/>
    <col min="6688" max="6700" width="11" style="17" customWidth="1"/>
    <col min="6701" max="6701" width="12.85546875" style="17" customWidth="1"/>
    <col min="6702" max="6702" width="10" style="17" bestFit="1" customWidth="1"/>
    <col min="6703" max="6941" width="9.140625" style="17"/>
    <col min="6942" max="6942" width="53" style="17" customWidth="1"/>
    <col min="6943" max="6943" width="14.42578125" style="17" customWidth="1"/>
    <col min="6944" max="6956" width="11" style="17" customWidth="1"/>
    <col min="6957" max="6957" width="12.85546875" style="17" customWidth="1"/>
    <col min="6958" max="6958" width="10" style="17" bestFit="1" customWidth="1"/>
    <col min="6959" max="7197" width="9.140625" style="17"/>
    <col min="7198" max="7198" width="53" style="17" customWidth="1"/>
    <col min="7199" max="7199" width="14.42578125" style="17" customWidth="1"/>
    <col min="7200" max="7212" width="11" style="17" customWidth="1"/>
    <col min="7213" max="7213" width="12.85546875" style="17" customWidth="1"/>
    <col min="7214" max="7214" width="10" style="17" bestFit="1" customWidth="1"/>
    <col min="7215" max="7453" width="9.140625" style="17"/>
    <col min="7454" max="7454" width="53" style="17" customWidth="1"/>
    <col min="7455" max="7455" width="14.42578125" style="17" customWidth="1"/>
    <col min="7456" max="7468" width="11" style="17" customWidth="1"/>
    <col min="7469" max="7469" width="12.85546875" style="17" customWidth="1"/>
    <col min="7470" max="7470" width="10" style="17" bestFit="1" customWidth="1"/>
    <col min="7471" max="7709" width="9.140625" style="17"/>
    <col min="7710" max="7710" width="53" style="17" customWidth="1"/>
    <col min="7711" max="7711" width="14.42578125" style="17" customWidth="1"/>
    <col min="7712" max="7724" width="11" style="17" customWidth="1"/>
    <col min="7725" max="7725" width="12.85546875" style="17" customWidth="1"/>
    <col min="7726" max="7726" width="10" style="17" bestFit="1" customWidth="1"/>
    <col min="7727" max="7965" width="9.140625" style="17"/>
    <col min="7966" max="7966" width="53" style="17" customWidth="1"/>
    <col min="7967" max="7967" width="14.42578125" style="17" customWidth="1"/>
    <col min="7968" max="7980" width="11" style="17" customWidth="1"/>
    <col min="7981" max="7981" width="12.85546875" style="17" customWidth="1"/>
    <col min="7982" max="7982" width="10" style="17" bestFit="1" customWidth="1"/>
    <col min="7983" max="8221" width="9.140625" style="17"/>
    <col min="8222" max="8222" width="53" style="17" customWidth="1"/>
    <col min="8223" max="8223" width="14.42578125" style="17" customWidth="1"/>
    <col min="8224" max="8236" width="11" style="17" customWidth="1"/>
    <col min="8237" max="8237" width="12.85546875" style="17" customWidth="1"/>
    <col min="8238" max="8238" width="10" style="17" bestFit="1" customWidth="1"/>
    <col min="8239" max="8477" width="9.140625" style="17"/>
    <col min="8478" max="8478" width="53" style="17" customWidth="1"/>
    <col min="8479" max="8479" width="14.42578125" style="17" customWidth="1"/>
    <col min="8480" max="8492" width="11" style="17" customWidth="1"/>
    <col min="8493" max="8493" width="12.85546875" style="17" customWidth="1"/>
    <col min="8494" max="8494" width="10" style="17" bestFit="1" customWidth="1"/>
    <col min="8495" max="8733" width="9.140625" style="17"/>
    <col min="8734" max="8734" width="53" style="17" customWidth="1"/>
    <col min="8735" max="8735" width="14.42578125" style="17" customWidth="1"/>
    <col min="8736" max="8748" width="11" style="17" customWidth="1"/>
    <col min="8749" max="8749" width="12.85546875" style="17" customWidth="1"/>
    <col min="8750" max="8750" width="10" style="17" bestFit="1" customWidth="1"/>
    <col min="8751" max="8989" width="9.140625" style="17"/>
    <col min="8990" max="8990" width="53" style="17" customWidth="1"/>
    <col min="8991" max="8991" width="14.42578125" style="17" customWidth="1"/>
    <col min="8992" max="9004" width="11" style="17" customWidth="1"/>
    <col min="9005" max="9005" width="12.85546875" style="17" customWidth="1"/>
    <col min="9006" max="9006" width="10" style="17" bestFit="1" customWidth="1"/>
    <col min="9007" max="9245" width="9.140625" style="17"/>
    <col min="9246" max="9246" width="53" style="17" customWidth="1"/>
    <col min="9247" max="9247" width="14.42578125" style="17" customWidth="1"/>
    <col min="9248" max="9260" width="11" style="17" customWidth="1"/>
    <col min="9261" max="9261" width="12.85546875" style="17" customWidth="1"/>
    <col min="9262" max="9262" width="10" style="17" bestFit="1" customWidth="1"/>
    <col min="9263" max="9501" width="9.140625" style="17"/>
    <col min="9502" max="9502" width="53" style="17" customWidth="1"/>
    <col min="9503" max="9503" width="14.42578125" style="17" customWidth="1"/>
    <col min="9504" max="9516" width="11" style="17" customWidth="1"/>
    <col min="9517" max="9517" width="12.85546875" style="17" customWidth="1"/>
    <col min="9518" max="9518" width="10" style="17" bestFit="1" customWidth="1"/>
    <col min="9519" max="9757" width="9.140625" style="17"/>
    <col min="9758" max="9758" width="53" style="17" customWidth="1"/>
    <col min="9759" max="9759" width="14.42578125" style="17" customWidth="1"/>
    <col min="9760" max="9772" width="11" style="17" customWidth="1"/>
    <col min="9773" max="9773" width="12.85546875" style="17" customWidth="1"/>
    <col min="9774" max="9774" width="10" style="17" bestFit="1" customWidth="1"/>
    <col min="9775" max="10013" width="9.140625" style="17"/>
    <col min="10014" max="10014" width="53" style="17" customWidth="1"/>
    <col min="10015" max="10015" width="14.42578125" style="17" customWidth="1"/>
    <col min="10016" max="10028" width="11" style="17" customWidth="1"/>
    <col min="10029" max="10029" width="12.85546875" style="17" customWidth="1"/>
    <col min="10030" max="10030" width="10" style="17" bestFit="1" customWidth="1"/>
    <col min="10031" max="10269" width="9.140625" style="17"/>
    <col min="10270" max="10270" width="53" style="17" customWidth="1"/>
    <col min="10271" max="10271" width="14.42578125" style="17" customWidth="1"/>
    <col min="10272" max="10284" width="11" style="17" customWidth="1"/>
    <col min="10285" max="10285" width="12.85546875" style="17" customWidth="1"/>
    <col min="10286" max="10286" width="10" style="17" bestFit="1" customWidth="1"/>
    <col min="10287" max="10525" width="9.140625" style="17"/>
    <col min="10526" max="10526" width="53" style="17" customWidth="1"/>
    <col min="10527" max="10527" width="14.42578125" style="17" customWidth="1"/>
    <col min="10528" max="10540" width="11" style="17" customWidth="1"/>
    <col min="10541" max="10541" width="12.85546875" style="17" customWidth="1"/>
    <col min="10542" max="10542" width="10" style="17" bestFit="1" customWidth="1"/>
    <col min="10543" max="10781" width="9.140625" style="17"/>
    <col min="10782" max="10782" width="53" style="17" customWidth="1"/>
    <col min="10783" max="10783" width="14.42578125" style="17" customWidth="1"/>
    <col min="10784" max="10796" width="11" style="17" customWidth="1"/>
    <col min="10797" max="10797" width="12.85546875" style="17" customWidth="1"/>
    <col min="10798" max="10798" width="10" style="17" bestFit="1" customWidth="1"/>
    <col min="10799" max="11037" width="9.140625" style="17"/>
    <col min="11038" max="11038" width="53" style="17" customWidth="1"/>
    <col min="11039" max="11039" width="14.42578125" style="17" customWidth="1"/>
    <col min="11040" max="11052" width="11" style="17" customWidth="1"/>
    <col min="11053" max="11053" width="12.85546875" style="17" customWidth="1"/>
    <col min="11054" max="11054" width="10" style="17" bestFit="1" customWidth="1"/>
    <col min="11055" max="11293" width="9.140625" style="17"/>
    <col min="11294" max="11294" width="53" style="17" customWidth="1"/>
    <col min="11295" max="11295" width="14.42578125" style="17" customWidth="1"/>
    <col min="11296" max="11308" width="11" style="17" customWidth="1"/>
    <col min="11309" max="11309" width="12.85546875" style="17" customWidth="1"/>
    <col min="11310" max="11310" width="10" style="17" bestFit="1" customWidth="1"/>
    <col min="11311" max="11549" width="9.140625" style="17"/>
    <col min="11550" max="11550" width="53" style="17" customWidth="1"/>
    <col min="11551" max="11551" width="14.42578125" style="17" customWidth="1"/>
    <col min="11552" max="11564" width="11" style="17" customWidth="1"/>
    <col min="11565" max="11565" width="12.85546875" style="17" customWidth="1"/>
    <col min="11566" max="11566" width="10" style="17" bestFit="1" customWidth="1"/>
    <col min="11567" max="11805" width="9.140625" style="17"/>
    <col min="11806" max="11806" width="53" style="17" customWidth="1"/>
    <col min="11807" max="11807" width="14.42578125" style="17" customWidth="1"/>
    <col min="11808" max="11820" width="11" style="17" customWidth="1"/>
    <col min="11821" max="11821" width="12.85546875" style="17" customWidth="1"/>
    <col min="11822" max="11822" width="10" style="17" bestFit="1" customWidth="1"/>
    <col min="11823" max="12061" width="9.140625" style="17"/>
    <col min="12062" max="12062" width="53" style="17" customWidth="1"/>
    <col min="12063" max="12063" width="14.42578125" style="17" customWidth="1"/>
    <col min="12064" max="12076" width="11" style="17" customWidth="1"/>
    <col min="12077" max="12077" width="12.85546875" style="17" customWidth="1"/>
    <col min="12078" max="12078" width="10" style="17" bestFit="1" customWidth="1"/>
    <col min="12079" max="12317" width="9.140625" style="17"/>
    <col min="12318" max="12318" width="53" style="17" customWidth="1"/>
    <col min="12319" max="12319" width="14.42578125" style="17" customWidth="1"/>
    <col min="12320" max="12332" width="11" style="17" customWidth="1"/>
    <col min="12333" max="12333" width="12.85546875" style="17" customWidth="1"/>
    <col min="12334" max="12334" width="10" style="17" bestFit="1" customWidth="1"/>
    <col min="12335" max="12573" width="9.140625" style="17"/>
    <col min="12574" max="12574" width="53" style="17" customWidth="1"/>
    <col min="12575" max="12575" width="14.42578125" style="17" customWidth="1"/>
    <col min="12576" max="12588" width="11" style="17" customWidth="1"/>
    <col min="12589" max="12589" width="12.85546875" style="17" customWidth="1"/>
    <col min="12590" max="12590" width="10" style="17" bestFit="1" customWidth="1"/>
    <col min="12591" max="12829" width="9.140625" style="17"/>
    <col min="12830" max="12830" width="53" style="17" customWidth="1"/>
    <col min="12831" max="12831" width="14.42578125" style="17" customWidth="1"/>
    <col min="12832" max="12844" width="11" style="17" customWidth="1"/>
    <col min="12845" max="12845" width="12.85546875" style="17" customWidth="1"/>
    <col min="12846" max="12846" width="10" style="17" bestFit="1" customWidth="1"/>
    <col min="12847" max="13085" width="9.140625" style="17"/>
    <col min="13086" max="13086" width="53" style="17" customWidth="1"/>
    <col min="13087" max="13087" width="14.42578125" style="17" customWidth="1"/>
    <col min="13088" max="13100" width="11" style="17" customWidth="1"/>
    <col min="13101" max="13101" width="12.85546875" style="17" customWidth="1"/>
    <col min="13102" max="13102" width="10" style="17" bestFit="1" customWidth="1"/>
    <col min="13103" max="13341" width="9.140625" style="17"/>
    <col min="13342" max="13342" width="53" style="17" customWidth="1"/>
    <col min="13343" max="13343" width="14.42578125" style="17" customWidth="1"/>
    <col min="13344" max="13356" width="11" style="17" customWidth="1"/>
    <col min="13357" max="13357" width="12.85546875" style="17" customWidth="1"/>
    <col min="13358" max="13358" width="10" style="17" bestFit="1" customWidth="1"/>
    <col min="13359" max="13597" width="9.140625" style="17"/>
    <col min="13598" max="13598" width="53" style="17" customWidth="1"/>
    <col min="13599" max="13599" width="14.42578125" style="17" customWidth="1"/>
    <col min="13600" max="13612" width="11" style="17" customWidth="1"/>
    <col min="13613" max="13613" width="12.85546875" style="17" customWidth="1"/>
    <col min="13614" max="13614" width="10" style="17" bestFit="1" customWidth="1"/>
    <col min="13615" max="13853" width="9.140625" style="17"/>
    <col min="13854" max="13854" width="53" style="17" customWidth="1"/>
    <col min="13855" max="13855" width="14.42578125" style="17" customWidth="1"/>
    <col min="13856" max="13868" width="11" style="17" customWidth="1"/>
    <col min="13869" max="13869" width="12.85546875" style="17" customWidth="1"/>
    <col min="13870" max="13870" width="10" style="17" bestFit="1" customWidth="1"/>
    <col min="13871" max="14109" width="9.140625" style="17"/>
    <col min="14110" max="14110" width="53" style="17" customWidth="1"/>
    <col min="14111" max="14111" width="14.42578125" style="17" customWidth="1"/>
    <col min="14112" max="14124" width="11" style="17" customWidth="1"/>
    <col min="14125" max="14125" width="12.85546875" style="17" customWidth="1"/>
    <col min="14126" max="14126" width="10" style="17" bestFit="1" customWidth="1"/>
    <col min="14127" max="14365" width="9.140625" style="17"/>
    <col min="14366" max="14366" width="53" style="17" customWidth="1"/>
    <col min="14367" max="14367" width="14.42578125" style="17" customWidth="1"/>
    <col min="14368" max="14380" width="11" style="17" customWidth="1"/>
    <col min="14381" max="14381" width="12.85546875" style="17" customWidth="1"/>
    <col min="14382" max="14382" width="10" style="17" bestFit="1" customWidth="1"/>
    <col min="14383" max="14621" width="9.140625" style="17"/>
    <col min="14622" max="14622" width="53" style="17" customWidth="1"/>
    <col min="14623" max="14623" width="14.42578125" style="17" customWidth="1"/>
    <col min="14624" max="14636" width="11" style="17" customWidth="1"/>
    <col min="14637" max="14637" width="12.85546875" style="17" customWidth="1"/>
    <col min="14638" max="14638" width="10" style="17" bestFit="1" customWidth="1"/>
    <col min="14639" max="14877" width="9.140625" style="17"/>
    <col min="14878" max="14878" width="53" style="17" customWidth="1"/>
    <col min="14879" max="14879" width="14.42578125" style="17" customWidth="1"/>
    <col min="14880" max="14892" width="11" style="17" customWidth="1"/>
    <col min="14893" max="14893" width="12.85546875" style="17" customWidth="1"/>
    <col min="14894" max="14894" width="10" style="17" bestFit="1" customWidth="1"/>
    <col min="14895" max="15133" width="9.140625" style="17"/>
    <col min="15134" max="15134" width="53" style="17" customWidth="1"/>
    <col min="15135" max="15135" width="14.42578125" style="17" customWidth="1"/>
    <col min="15136" max="15148" width="11" style="17" customWidth="1"/>
    <col min="15149" max="15149" width="12.85546875" style="17" customWidth="1"/>
    <col min="15150" max="15150" width="10" style="17" bestFit="1" customWidth="1"/>
    <col min="15151" max="15389" width="9.140625" style="17"/>
    <col min="15390" max="15390" width="53" style="17" customWidth="1"/>
    <col min="15391" max="15391" width="14.42578125" style="17" customWidth="1"/>
    <col min="15392" max="15404" width="11" style="17" customWidth="1"/>
    <col min="15405" max="15405" width="12.85546875" style="17" customWidth="1"/>
    <col min="15406" max="15406" width="10" style="17" bestFit="1" customWidth="1"/>
    <col min="15407" max="15645" width="9.140625" style="17"/>
    <col min="15646" max="15646" width="53" style="17" customWidth="1"/>
    <col min="15647" max="15647" width="14.42578125" style="17" customWidth="1"/>
    <col min="15648" max="15660" width="11" style="17" customWidth="1"/>
    <col min="15661" max="15661" width="12.85546875" style="17" customWidth="1"/>
    <col min="15662" max="15662" width="10" style="17" bestFit="1" customWidth="1"/>
    <col min="15663" max="15901" width="9.140625" style="17"/>
    <col min="15902" max="15902" width="53" style="17" customWidth="1"/>
    <col min="15903" max="15903" width="14.42578125" style="17" customWidth="1"/>
    <col min="15904" max="15916" width="11" style="17" customWidth="1"/>
    <col min="15917" max="15917" width="12.85546875" style="17" customWidth="1"/>
    <col min="15918" max="15918" width="10" style="17" bestFit="1" customWidth="1"/>
    <col min="15919" max="16157" width="9.140625" style="17"/>
    <col min="16158" max="16158" width="53" style="17" customWidth="1"/>
    <col min="16159" max="16159" width="14.42578125" style="17" customWidth="1"/>
    <col min="16160" max="16172" width="11" style="17" customWidth="1"/>
    <col min="16173" max="16173" width="12.85546875" style="17" customWidth="1"/>
    <col min="16174" max="16174" width="10" style="17" bestFit="1" customWidth="1"/>
    <col min="16175" max="16384" width="9.140625" style="17"/>
  </cols>
  <sheetData>
    <row r="1" spans="1:54" s="7" customFormat="1" ht="15">
      <c r="A1" s="349" t="s">
        <v>5</v>
      </c>
      <c r="B1" s="349"/>
      <c r="C1" s="6"/>
      <c r="D1" s="6"/>
      <c r="E1" s="6"/>
      <c r="F1" s="6"/>
      <c r="G1" s="6"/>
      <c r="H1" s="6"/>
      <c r="I1" s="6"/>
      <c r="J1" s="6"/>
      <c r="O1" s="8"/>
      <c r="P1" s="8"/>
      <c r="AC1" s="8"/>
      <c r="AD1" s="8"/>
      <c r="AQ1" s="8"/>
      <c r="AR1" s="8"/>
    </row>
    <row r="2" spans="1:54" ht="12.75" customHeight="1">
      <c r="A2" s="9"/>
      <c r="B2" s="10"/>
      <c r="C2" s="11" t="str">
        <f>A100</f>
        <v>Срок окупаемости проекта с учетом инвестиций, мес.:</v>
      </c>
      <c r="D2" s="12">
        <f>B100</f>
        <v>7</v>
      </c>
      <c r="E2" s="10"/>
      <c r="F2" s="10"/>
      <c r="G2" s="10"/>
      <c r="H2" s="10"/>
      <c r="I2" s="13"/>
      <c r="J2" s="14"/>
      <c r="K2" s="14"/>
      <c r="L2" s="14"/>
      <c r="M2" s="14"/>
      <c r="N2" s="14"/>
      <c r="O2" s="15"/>
      <c r="P2" s="15"/>
      <c r="Q2" s="10"/>
      <c r="R2" s="16"/>
      <c r="S2" s="10"/>
      <c r="T2" s="10"/>
      <c r="U2" s="10"/>
      <c r="V2" s="10"/>
      <c r="W2" s="13"/>
      <c r="X2" s="14"/>
      <c r="Y2" s="14"/>
      <c r="Z2" s="14"/>
      <c r="AA2" s="14"/>
      <c r="AB2" s="14"/>
      <c r="AC2" s="15"/>
      <c r="AD2" s="15"/>
      <c r="AE2" s="10"/>
      <c r="AF2" s="16"/>
      <c r="AG2" s="10"/>
      <c r="AH2" s="10"/>
      <c r="AI2" s="10"/>
      <c r="AJ2" s="10"/>
      <c r="AK2" s="13"/>
      <c r="AL2" s="14"/>
      <c r="AM2" s="14"/>
      <c r="AN2" s="14"/>
      <c r="AO2" s="14"/>
      <c r="AP2" s="14"/>
      <c r="AQ2" s="15"/>
      <c r="AR2" s="15"/>
      <c r="AS2" s="14"/>
    </row>
    <row r="3" spans="1:54" hidden="1">
      <c r="C3" s="19">
        <f>'Исходные данные'!$U$2</f>
        <v>1</v>
      </c>
      <c r="D3" s="19">
        <f>IF(C3=12,1,C3+1)</f>
        <v>2</v>
      </c>
      <c r="E3" s="19">
        <f t="shared" ref="E3:AB3" si="0">IF(D3=12,1,D3+1)</f>
        <v>3</v>
      </c>
      <c r="F3" s="19">
        <f t="shared" si="0"/>
        <v>4</v>
      </c>
      <c r="G3" s="19">
        <f t="shared" si="0"/>
        <v>5</v>
      </c>
      <c r="H3" s="19">
        <f t="shared" si="0"/>
        <v>6</v>
      </c>
      <c r="I3" s="19">
        <f t="shared" si="0"/>
        <v>7</v>
      </c>
      <c r="J3" s="19">
        <f t="shared" si="0"/>
        <v>8</v>
      </c>
      <c r="K3" s="19">
        <f t="shared" si="0"/>
        <v>9</v>
      </c>
      <c r="L3" s="19">
        <f t="shared" si="0"/>
        <v>10</v>
      </c>
      <c r="M3" s="19">
        <f t="shared" si="0"/>
        <v>11</v>
      </c>
      <c r="N3" s="19">
        <f t="shared" si="0"/>
        <v>12</v>
      </c>
      <c r="O3" s="20"/>
      <c r="P3" s="20"/>
      <c r="Q3" s="19">
        <f>IF(N3=12,1,N3+1)</f>
        <v>1</v>
      </c>
      <c r="R3" s="19">
        <f t="shared" si="0"/>
        <v>2</v>
      </c>
      <c r="S3" s="19">
        <f t="shared" si="0"/>
        <v>3</v>
      </c>
      <c r="T3" s="19">
        <f t="shared" si="0"/>
        <v>4</v>
      </c>
      <c r="U3" s="19">
        <f t="shared" si="0"/>
        <v>5</v>
      </c>
      <c r="V3" s="19">
        <f t="shared" si="0"/>
        <v>6</v>
      </c>
      <c r="W3" s="19">
        <f t="shared" si="0"/>
        <v>7</v>
      </c>
      <c r="X3" s="19">
        <f t="shared" si="0"/>
        <v>8</v>
      </c>
      <c r="Y3" s="19">
        <f t="shared" si="0"/>
        <v>9</v>
      </c>
      <c r="Z3" s="19">
        <f t="shared" si="0"/>
        <v>10</v>
      </c>
      <c r="AA3" s="19">
        <f t="shared" si="0"/>
        <v>11</v>
      </c>
      <c r="AB3" s="19">
        <f t="shared" si="0"/>
        <v>12</v>
      </c>
      <c r="AC3" s="20"/>
      <c r="AD3" s="20"/>
      <c r="AE3" s="19">
        <f>IF(AB3=12,1,AB3+1)</f>
        <v>1</v>
      </c>
      <c r="AF3" s="19">
        <f t="shared" ref="AF3:AP3" si="1">IF(AE3=12,1,AE3+1)</f>
        <v>2</v>
      </c>
      <c r="AG3" s="19">
        <f t="shared" si="1"/>
        <v>3</v>
      </c>
      <c r="AH3" s="19">
        <f t="shared" si="1"/>
        <v>4</v>
      </c>
      <c r="AI3" s="19">
        <f t="shared" si="1"/>
        <v>5</v>
      </c>
      <c r="AJ3" s="19">
        <f t="shared" si="1"/>
        <v>6</v>
      </c>
      <c r="AK3" s="19">
        <f t="shared" si="1"/>
        <v>7</v>
      </c>
      <c r="AL3" s="19">
        <f t="shared" si="1"/>
        <v>8</v>
      </c>
      <c r="AM3" s="19">
        <f t="shared" si="1"/>
        <v>9</v>
      </c>
      <c r="AN3" s="19">
        <f t="shared" si="1"/>
        <v>10</v>
      </c>
      <c r="AO3" s="19">
        <f t="shared" si="1"/>
        <v>11</v>
      </c>
      <c r="AP3" s="19">
        <f t="shared" si="1"/>
        <v>12</v>
      </c>
      <c r="AQ3" s="20"/>
      <c r="AR3" s="20"/>
    </row>
    <row r="4" spans="1:54"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3"/>
      <c r="P4" s="23"/>
      <c r="Q4" s="22"/>
      <c r="R4" s="22"/>
      <c r="S4" s="22"/>
      <c r="T4" s="22"/>
      <c r="U4" s="22"/>
      <c r="V4" s="22"/>
      <c r="W4" s="22"/>
      <c r="X4" s="22"/>
      <c r="Y4" s="22"/>
      <c r="AC4" s="23"/>
      <c r="AD4" s="23"/>
      <c r="AE4" s="22"/>
      <c r="AF4" s="22"/>
      <c r="AG4" s="22"/>
      <c r="AH4" s="22"/>
      <c r="AI4" s="22"/>
      <c r="AJ4" s="22"/>
      <c r="AK4" s="22"/>
      <c r="AL4" s="22"/>
      <c r="AM4" s="22"/>
      <c r="AQ4" s="23"/>
      <c r="AR4" s="23"/>
      <c r="AU4" s="31"/>
    </row>
    <row r="5" spans="1:54" s="18" customFormat="1" ht="14.25" customHeight="1" thickBot="1">
      <c r="B5" s="24"/>
      <c r="C5" s="352" t="s">
        <v>31</v>
      </c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4"/>
      <c r="Q5" s="355" t="s">
        <v>32</v>
      </c>
      <c r="R5" s="356"/>
      <c r="S5" s="356"/>
      <c r="T5" s="356"/>
      <c r="U5" s="356"/>
      <c r="V5" s="356"/>
      <c r="W5" s="356"/>
      <c r="X5" s="356"/>
      <c r="Y5" s="356"/>
      <c r="Z5" s="356"/>
      <c r="AA5" s="356"/>
      <c r="AB5" s="356"/>
      <c r="AC5" s="356"/>
      <c r="AD5" s="357"/>
      <c r="AE5" s="358" t="s">
        <v>34</v>
      </c>
      <c r="AF5" s="358"/>
      <c r="AG5" s="358"/>
      <c r="AH5" s="358"/>
      <c r="AI5" s="358"/>
      <c r="AJ5" s="358"/>
      <c r="AK5" s="358"/>
      <c r="AL5" s="358"/>
      <c r="AM5" s="358"/>
      <c r="AN5" s="358"/>
      <c r="AO5" s="358"/>
      <c r="AP5" s="358"/>
      <c r="AQ5" s="358"/>
      <c r="AR5" s="358"/>
      <c r="AU5" s="31"/>
    </row>
    <row r="6" spans="1:54" s="18" customFormat="1" thickTop="1" thickBot="1">
      <c r="A6" s="25" t="s">
        <v>6</v>
      </c>
      <c r="B6" s="26"/>
      <c r="C6" s="27" t="str">
        <f>CHOOSE(C3,'Исходные данные'!$V$2,'Исходные данные'!$V$3,'Исходные данные'!$V$4,'Исходные данные'!$V$5,'Исходные данные'!$V$6,'Исходные данные'!$V$7,'Исходные данные'!$V$8,'Исходные данные'!$V$9,'Исходные данные'!$V$10,'Исходные данные'!$V$11,'Исходные данные'!$V$12,'Исходные данные'!$V$13)</f>
        <v>январь</v>
      </c>
      <c r="D6" s="27" t="str">
        <f>CHOOSE(D3,'Исходные данные'!$V$2,'Исходные данные'!$V$3,'Исходные данные'!$V$4,'Исходные данные'!$V$5,'Исходные данные'!$V$6,'Исходные данные'!$V$7,'Исходные данные'!$V$8,'Исходные данные'!$V$9,'Исходные данные'!$V$10,'Исходные данные'!$V$11,'Исходные данные'!$V$12,'Исходные данные'!$V$13)</f>
        <v>февраль</v>
      </c>
      <c r="E6" s="27" t="str">
        <f>CHOOSE(E3,'Исходные данные'!$V$2,'Исходные данные'!$V$3,'Исходные данные'!$V$4,'Исходные данные'!$V$5,'Исходные данные'!$V$6,'Исходные данные'!$V$7,'Исходные данные'!$V$8,'Исходные данные'!$V$9,'Исходные данные'!$V$10,'Исходные данные'!$V$11,'Исходные данные'!$V$12,'Исходные данные'!$V$13)</f>
        <v>март</v>
      </c>
      <c r="F6" s="27" t="str">
        <f>CHOOSE(F3,'Исходные данные'!$V$2,'Исходные данные'!$V$3,'Исходные данные'!$V$4,'Исходные данные'!$V$5,'Исходные данные'!$V$6,'Исходные данные'!$V$7,'Исходные данные'!$V$8,'Исходные данные'!$V$9,'Исходные данные'!$V$10,'Исходные данные'!$V$11,'Исходные данные'!$V$12,'Исходные данные'!$V$13)</f>
        <v>апрель</v>
      </c>
      <c r="G6" s="27" t="str">
        <f>CHOOSE(G3,'Исходные данные'!$V$2,'Исходные данные'!$V$3,'Исходные данные'!$V$4,'Исходные данные'!$V$5,'Исходные данные'!$V$6,'Исходные данные'!$V$7,'Исходные данные'!$V$8,'Исходные данные'!$V$9,'Исходные данные'!$V$10,'Исходные данные'!$V$11,'Исходные данные'!$V$12,'Исходные данные'!$V$13)</f>
        <v>май</v>
      </c>
      <c r="H6" s="27" t="str">
        <f>CHOOSE(H3,'Исходные данные'!$V$2,'Исходные данные'!$V$3,'Исходные данные'!$V$4,'Исходные данные'!$V$5,'Исходные данные'!$V$6,'Исходные данные'!$V$7,'Исходные данные'!$V$8,'Исходные данные'!$V$9,'Исходные данные'!$V$10,'Исходные данные'!$V$11,'Исходные данные'!$V$12,'Исходные данные'!$V$13)</f>
        <v>июнь</v>
      </c>
      <c r="I6" s="27" t="str">
        <f>CHOOSE(I3,'Исходные данные'!$V$2,'Исходные данные'!$V$3,'Исходные данные'!$V$4,'Исходные данные'!$V$5,'Исходные данные'!$V$6,'Исходные данные'!$V$7,'Исходные данные'!$V$8,'Исходные данные'!$V$9,'Исходные данные'!$V$10,'Исходные данные'!$V$11,'Исходные данные'!$V$12,'Исходные данные'!$V$13)</f>
        <v>июль</v>
      </c>
      <c r="J6" s="27" t="str">
        <f>CHOOSE(J3,'Исходные данные'!$V$2,'Исходные данные'!$V$3,'Исходные данные'!$V$4,'Исходные данные'!$V$5,'Исходные данные'!$V$6,'Исходные данные'!$V$7,'Исходные данные'!$V$8,'Исходные данные'!$V$9,'Исходные данные'!$V$10,'Исходные данные'!$V$11,'Исходные данные'!$V$12,'Исходные данные'!$V$13)</f>
        <v>август</v>
      </c>
      <c r="K6" s="27" t="str">
        <f>CHOOSE(K3,'Исходные данные'!$V$2,'Исходные данные'!$V$3,'Исходные данные'!$V$4,'Исходные данные'!$V$5,'Исходные данные'!$V$6,'Исходные данные'!$V$7,'Исходные данные'!$V$8,'Исходные данные'!$V$9,'Исходные данные'!$V$10,'Исходные данные'!$V$11,'Исходные данные'!$V$12,'Исходные данные'!$V$13)</f>
        <v>сентябрь</v>
      </c>
      <c r="L6" s="27" t="str">
        <f>CHOOSE(L3,'Исходные данные'!$V$2,'Исходные данные'!$V$3,'Исходные данные'!$V$4,'Исходные данные'!$V$5,'Исходные данные'!$V$6,'Исходные данные'!$V$7,'Исходные данные'!$V$8,'Исходные данные'!$V$9,'Исходные данные'!$V$10,'Исходные данные'!$V$11,'Исходные данные'!$V$12,'Исходные данные'!$V$13)</f>
        <v>октябрь</v>
      </c>
      <c r="M6" s="27" t="str">
        <f>CHOOSE(M3,'Исходные данные'!$V$2,'Исходные данные'!$V$3,'Исходные данные'!$V$4,'Исходные данные'!$V$5,'Исходные данные'!$V$6,'Исходные данные'!$V$7,'Исходные данные'!$V$8,'Исходные данные'!$V$9,'Исходные данные'!$V$10,'Исходные данные'!$V$11,'Исходные данные'!$V$12,'Исходные данные'!$V$13)</f>
        <v>ноябрь</v>
      </c>
      <c r="N6" s="27" t="str">
        <f>CHOOSE(N3,'Исходные данные'!$V$2,'Исходные данные'!$V$3,'Исходные данные'!$V$4,'Исходные данные'!$V$5,'Исходные данные'!$V$6,'Исходные данные'!$V$7,'Исходные данные'!$V$8,'Исходные данные'!$V$9,'Исходные данные'!$V$10,'Исходные данные'!$V$11,'Исходные данные'!$V$12,'Исходные данные'!$V$13)</f>
        <v>декабрь</v>
      </c>
      <c r="O6" s="28"/>
      <c r="P6" s="28"/>
      <c r="Q6" s="27" t="str">
        <f>CHOOSE(Q3,'Исходные данные'!$V$2,'Исходные данные'!$V$3,'Исходные данные'!$V$4,'Исходные данные'!$V$5,'Исходные данные'!$V$6,'Исходные данные'!$V$7,'Исходные данные'!$V$8,'Исходные данные'!$V$9,'Исходные данные'!$V$10,'Исходные данные'!$V$11,'Исходные данные'!$V$12,'Исходные данные'!$V$13)</f>
        <v>январь</v>
      </c>
      <c r="R6" s="27" t="str">
        <f>CHOOSE(R3,'Исходные данные'!$V$2,'Исходные данные'!$V$3,'Исходные данные'!$V$4,'Исходные данные'!$V$5,'Исходные данные'!$V$6,'Исходные данные'!$V$7,'Исходные данные'!$V$8,'Исходные данные'!$V$9,'Исходные данные'!$V$10,'Исходные данные'!$V$11,'Исходные данные'!$V$12,'Исходные данные'!$V$13)</f>
        <v>февраль</v>
      </c>
      <c r="S6" s="27" t="str">
        <f>CHOOSE(S3,'Исходные данные'!$V$2,'Исходные данные'!$V$3,'Исходные данные'!$V$4,'Исходные данные'!$V$5,'Исходные данные'!$V$6,'Исходные данные'!$V$7,'Исходные данные'!$V$8,'Исходные данные'!$V$9,'Исходные данные'!$V$10,'Исходные данные'!$V$11,'Исходные данные'!$V$12,'Исходные данные'!$V$13)</f>
        <v>март</v>
      </c>
      <c r="T6" s="27" t="str">
        <f>CHOOSE(T3,'Исходные данные'!$V$2,'Исходные данные'!$V$3,'Исходные данные'!$V$4,'Исходные данные'!$V$5,'Исходные данные'!$V$6,'Исходные данные'!$V$7,'Исходные данные'!$V$8,'Исходные данные'!$V$9,'Исходные данные'!$V$10,'Исходные данные'!$V$11,'Исходные данные'!$V$12,'Исходные данные'!$V$13)</f>
        <v>апрель</v>
      </c>
      <c r="U6" s="27" t="str">
        <f>CHOOSE(U3,'Исходные данные'!$V$2,'Исходные данные'!$V$3,'Исходные данные'!$V$4,'Исходные данные'!$V$5,'Исходные данные'!$V$6,'Исходные данные'!$V$7,'Исходные данные'!$V$8,'Исходные данные'!$V$9,'Исходные данные'!$V$10,'Исходные данные'!$V$11,'Исходные данные'!$V$12,'Исходные данные'!$V$13)</f>
        <v>май</v>
      </c>
      <c r="V6" s="27" t="str">
        <f>CHOOSE(V3,'Исходные данные'!$V$2,'Исходные данные'!$V$3,'Исходные данные'!$V$4,'Исходные данные'!$V$5,'Исходные данные'!$V$6,'Исходные данные'!$V$7,'Исходные данные'!$V$8,'Исходные данные'!$V$9,'Исходные данные'!$V$10,'Исходные данные'!$V$11,'Исходные данные'!$V$12,'Исходные данные'!$V$13)</f>
        <v>июнь</v>
      </c>
      <c r="W6" s="27" t="str">
        <f>CHOOSE(W3,'Исходные данные'!$V$2,'Исходные данные'!$V$3,'Исходные данные'!$V$4,'Исходные данные'!$V$5,'Исходные данные'!$V$6,'Исходные данные'!$V$7,'Исходные данные'!$V$8,'Исходные данные'!$V$9,'Исходные данные'!$V$10,'Исходные данные'!$V$11,'Исходные данные'!$V$12,'Исходные данные'!$V$13)</f>
        <v>июль</v>
      </c>
      <c r="X6" s="27" t="str">
        <f>CHOOSE(X3,'Исходные данные'!$V$2,'Исходные данные'!$V$3,'Исходные данные'!$V$4,'Исходные данные'!$V$5,'Исходные данные'!$V$6,'Исходные данные'!$V$7,'Исходные данные'!$V$8,'Исходные данные'!$V$9,'Исходные данные'!$V$10,'Исходные данные'!$V$11,'Исходные данные'!$V$12,'Исходные данные'!$V$13)</f>
        <v>август</v>
      </c>
      <c r="Y6" s="27" t="str">
        <f>CHOOSE(Y3,'Исходные данные'!$V$2,'Исходные данные'!$V$3,'Исходные данные'!$V$4,'Исходные данные'!$V$5,'Исходные данные'!$V$6,'Исходные данные'!$V$7,'Исходные данные'!$V$8,'Исходные данные'!$V$9,'Исходные данные'!$V$10,'Исходные данные'!$V$11,'Исходные данные'!$V$12,'Исходные данные'!$V$13)</f>
        <v>сентябрь</v>
      </c>
      <c r="Z6" s="27" t="str">
        <f>CHOOSE(Z3,'Исходные данные'!$V$2,'Исходные данные'!$V$3,'Исходные данные'!$V$4,'Исходные данные'!$V$5,'Исходные данные'!$V$6,'Исходные данные'!$V$7,'Исходные данные'!$V$8,'Исходные данные'!$V$9,'Исходные данные'!$V$10,'Исходные данные'!$V$11,'Исходные данные'!$V$12,'Исходные данные'!$V$13)</f>
        <v>октябрь</v>
      </c>
      <c r="AA6" s="27" t="str">
        <f>CHOOSE(AA3,'Исходные данные'!$V$2,'Исходные данные'!$V$3,'Исходные данные'!$V$4,'Исходные данные'!$V$5,'Исходные данные'!$V$6,'Исходные данные'!$V$7,'Исходные данные'!$V$8,'Исходные данные'!$V$9,'Исходные данные'!$V$10,'Исходные данные'!$V$11,'Исходные данные'!$V$12,'Исходные данные'!$V$13)</f>
        <v>ноябрь</v>
      </c>
      <c r="AB6" s="27" t="str">
        <f>CHOOSE(AB3,'Исходные данные'!$V$2,'Исходные данные'!$V$3,'Исходные данные'!$V$4,'Исходные данные'!$V$5,'Исходные данные'!$V$6,'Исходные данные'!$V$7,'Исходные данные'!$V$8,'Исходные данные'!$V$9,'Исходные данные'!$V$10,'Исходные данные'!$V$11,'Исходные данные'!$V$12,'Исходные данные'!$V$13)</f>
        <v>декабрь</v>
      </c>
      <c r="AC6" s="28"/>
      <c r="AD6" s="28"/>
      <c r="AE6" s="27" t="str">
        <f>CHOOSE(AE3,'Исходные данные'!$V$2,'Исходные данные'!$V$3,'Исходные данные'!$V$4,'Исходные данные'!$V$5,'Исходные данные'!$V$6,'Исходные данные'!$V$7,'Исходные данные'!$V$8,'Исходные данные'!$V$9,'Исходные данные'!$V$10,'Исходные данные'!$V$11,'Исходные данные'!$V$12,'Исходные данные'!$V$13)</f>
        <v>январь</v>
      </c>
      <c r="AF6" s="27" t="str">
        <f>CHOOSE(AF3,'Исходные данные'!$V$2,'Исходные данные'!$V$3,'Исходные данные'!$V$4,'Исходные данные'!$V$5,'Исходные данные'!$V$6,'Исходные данные'!$V$7,'Исходные данные'!$V$8,'Исходные данные'!$V$9,'Исходные данные'!$V$10,'Исходные данные'!$V$11,'Исходные данные'!$V$12,'Исходные данные'!$V$13)</f>
        <v>февраль</v>
      </c>
      <c r="AG6" s="27" t="str">
        <f>CHOOSE(AG3,'Исходные данные'!$V$2,'Исходные данные'!$V$3,'Исходные данные'!$V$4,'Исходные данные'!$V$5,'Исходные данные'!$V$6,'Исходные данные'!$V$7,'Исходные данные'!$V$8,'Исходные данные'!$V$9,'Исходные данные'!$V$10,'Исходные данные'!$V$11,'Исходные данные'!$V$12,'Исходные данные'!$V$13)</f>
        <v>март</v>
      </c>
      <c r="AH6" s="27" t="str">
        <f>CHOOSE(AH3,'Исходные данные'!$V$2,'Исходные данные'!$V$3,'Исходные данные'!$V$4,'Исходные данные'!$V$5,'Исходные данные'!$V$6,'Исходные данные'!$V$7,'Исходные данные'!$V$8,'Исходные данные'!$V$9,'Исходные данные'!$V$10,'Исходные данные'!$V$11,'Исходные данные'!$V$12,'Исходные данные'!$V$13)</f>
        <v>апрель</v>
      </c>
      <c r="AI6" s="27" t="str">
        <f>CHOOSE(AI3,'Исходные данные'!$V$2,'Исходные данные'!$V$3,'Исходные данные'!$V$4,'Исходные данные'!$V$5,'Исходные данные'!$V$6,'Исходные данные'!$V$7,'Исходные данные'!$V$8,'Исходные данные'!$V$9,'Исходные данные'!$V$10,'Исходные данные'!$V$11,'Исходные данные'!$V$12,'Исходные данные'!$V$13)</f>
        <v>май</v>
      </c>
      <c r="AJ6" s="27" t="str">
        <f>CHOOSE(AJ3,'Исходные данные'!$V$2,'Исходные данные'!$V$3,'Исходные данные'!$V$4,'Исходные данные'!$V$5,'Исходные данные'!$V$6,'Исходные данные'!$V$7,'Исходные данные'!$V$8,'Исходные данные'!$V$9,'Исходные данные'!$V$10,'Исходные данные'!$V$11,'Исходные данные'!$V$12,'Исходные данные'!$V$13)</f>
        <v>июнь</v>
      </c>
      <c r="AK6" s="27" t="str">
        <f>CHOOSE(AK3,'Исходные данные'!$V$2,'Исходные данные'!$V$3,'Исходные данные'!$V$4,'Исходные данные'!$V$5,'Исходные данные'!$V$6,'Исходные данные'!$V$7,'Исходные данные'!$V$8,'Исходные данные'!$V$9,'Исходные данные'!$V$10,'Исходные данные'!$V$11,'Исходные данные'!$V$12,'Исходные данные'!$V$13)</f>
        <v>июль</v>
      </c>
      <c r="AL6" s="27" t="str">
        <f>CHOOSE(AL3,'Исходные данные'!$V$2,'Исходные данные'!$V$3,'Исходные данные'!$V$4,'Исходные данные'!$V$5,'Исходные данные'!$V$6,'Исходные данные'!$V$7,'Исходные данные'!$V$8,'Исходные данные'!$V$9,'Исходные данные'!$V$10,'Исходные данные'!$V$11,'Исходные данные'!$V$12,'Исходные данные'!$V$13)</f>
        <v>август</v>
      </c>
      <c r="AM6" s="27" t="str">
        <f>CHOOSE(AM3,'Исходные данные'!$V$2,'Исходные данные'!$V$3,'Исходные данные'!$V$4,'Исходные данные'!$V$5,'Исходные данные'!$V$6,'Исходные данные'!$V$7,'Исходные данные'!$V$8,'Исходные данные'!$V$9,'Исходные данные'!$V$10,'Исходные данные'!$V$11,'Исходные данные'!$V$12,'Исходные данные'!$V$13)</f>
        <v>сентябрь</v>
      </c>
      <c r="AN6" s="27" t="str">
        <f>CHOOSE(AN3,'Исходные данные'!$V$2,'Исходные данные'!$V$3,'Исходные данные'!$V$4,'Исходные данные'!$V$5,'Исходные данные'!$V$6,'Исходные данные'!$V$7,'Исходные данные'!$V$8,'Исходные данные'!$V$9,'Исходные данные'!$V$10,'Исходные данные'!$V$11,'Исходные данные'!$V$12,'Исходные данные'!$V$13)</f>
        <v>октябрь</v>
      </c>
      <c r="AO6" s="27" t="str">
        <f>CHOOSE(AO3,'Исходные данные'!$V$2,'Исходные данные'!$V$3,'Исходные данные'!$V$4,'Исходные данные'!$V$5,'Исходные данные'!$V$6,'Исходные данные'!$V$7,'Исходные данные'!$V$8,'Исходные данные'!$V$9,'Исходные данные'!$V$10,'Исходные данные'!$V$11,'Исходные данные'!$V$12,'Исходные данные'!$V$13)</f>
        <v>ноябрь</v>
      </c>
      <c r="AP6" s="27" t="str">
        <f>CHOOSE(AP3,'Исходные данные'!$V$2,'Исходные данные'!$V$3,'Исходные данные'!$V$4,'Исходные данные'!$V$5,'Исходные данные'!$V$6,'Исходные данные'!$V$7,'Исходные данные'!$V$8,'Исходные данные'!$V$9,'Исходные данные'!$V$10,'Исходные данные'!$V$11,'Исходные данные'!$V$12,'Исходные данные'!$V$13)</f>
        <v>декабрь</v>
      </c>
      <c r="AQ6" s="28"/>
      <c r="AR6" s="28"/>
      <c r="AS6" s="29"/>
      <c r="AU6" s="31"/>
    </row>
    <row r="7" spans="1:54" s="33" customFormat="1" ht="13.5" outlineLevel="1" thickTop="1">
      <c r="A7" s="222" t="s">
        <v>142</v>
      </c>
      <c r="B7" s="30"/>
      <c r="C7" s="31">
        <f>'Исходные данные'!$L$19</f>
        <v>0.7</v>
      </c>
      <c r="D7" s="31">
        <f>'Исходные данные'!$L$20</f>
        <v>0.8</v>
      </c>
      <c r="E7" s="31">
        <f>'Исходные данные'!$L$21</f>
        <v>0.9</v>
      </c>
      <c r="F7" s="31">
        <f>'Исходные данные'!$L$22</f>
        <v>1</v>
      </c>
      <c r="G7" s="31">
        <f>'Исходные данные'!$L$23</f>
        <v>1</v>
      </c>
      <c r="H7" s="31">
        <f>'Исходные данные'!$L$24</f>
        <v>1</v>
      </c>
      <c r="I7" s="31">
        <f>'Исходные данные'!$L$25</f>
        <v>1</v>
      </c>
      <c r="J7" s="31">
        <f>'Исходные данные'!$L$26</f>
        <v>1</v>
      </c>
      <c r="K7" s="31">
        <f>'Исходные данные'!$L$27</f>
        <v>1</v>
      </c>
      <c r="L7" s="31">
        <f>'Исходные данные'!$L$28</f>
        <v>1</v>
      </c>
      <c r="M7" s="31">
        <f>'Исходные данные'!$L$29</f>
        <v>1</v>
      </c>
      <c r="N7" s="31">
        <f>'Исходные данные'!$L$30</f>
        <v>1</v>
      </c>
      <c r="O7" s="32"/>
      <c r="P7" s="32"/>
      <c r="Q7" s="31">
        <f>'Исходные данные'!$C$34</f>
        <v>1.2</v>
      </c>
      <c r="R7" s="31">
        <f>'Исходные данные'!$C$34</f>
        <v>1.2</v>
      </c>
      <c r="S7" s="31">
        <f>'Исходные данные'!$C$34</f>
        <v>1.2</v>
      </c>
      <c r="T7" s="31">
        <f>'Исходные данные'!$C$34</f>
        <v>1.2</v>
      </c>
      <c r="U7" s="31">
        <f>'Исходные данные'!$C$34</f>
        <v>1.2</v>
      </c>
      <c r="V7" s="31">
        <f>'Исходные данные'!$C$34</f>
        <v>1.2</v>
      </c>
      <c r="W7" s="31">
        <f>'Исходные данные'!$C$34</f>
        <v>1.2</v>
      </c>
      <c r="X7" s="31">
        <f>'Исходные данные'!$C$34</f>
        <v>1.2</v>
      </c>
      <c r="Y7" s="31">
        <f>'Исходные данные'!$C$34</f>
        <v>1.2</v>
      </c>
      <c r="Z7" s="31">
        <f>'Исходные данные'!$C$34</f>
        <v>1.2</v>
      </c>
      <c r="AA7" s="31">
        <f>'Исходные данные'!$C$34</f>
        <v>1.2</v>
      </c>
      <c r="AB7" s="31">
        <f>'Исходные данные'!$C$34</f>
        <v>1.2</v>
      </c>
      <c r="AC7" s="32"/>
      <c r="AD7" s="32"/>
      <c r="AE7" s="31">
        <f>'Исходные данные'!$C$35</f>
        <v>1.4</v>
      </c>
      <c r="AF7" s="31">
        <f>'Исходные данные'!$C$35</f>
        <v>1.4</v>
      </c>
      <c r="AG7" s="31">
        <f>'Исходные данные'!$C$35</f>
        <v>1.4</v>
      </c>
      <c r="AH7" s="31">
        <f>'Исходные данные'!$C$35</f>
        <v>1.4</v>
      </c>
      <c r="AI7" s="31">
        <f>'Исходные данные'!$C$35</f>
        <v>1.4</v>
      </c>
      <c r="AJ7" s="31">
        <f>'Исходные данные'!$C$35</f>
        <v>1.4</v>
      </c>
      <c r="AK7" s="31">
        <f>'Исходные данные'!$C$35</f>
        <v>1.4</v>
      </c>
      <c r="AL7" s="31">
        <f>'Исходные данные'!$C$35</f>
        <v>1.4</v>
      </c>
      <c r="AM7" s="31">
        <f>'Исходные данные'!$C$35</f>
        <v>1.4</v>
      </c>
      <c r="AN7" s="31">
        <f>'Исходные данные'!$C$35</f>
        <v>1.4</v>
      </c>
      <c r="AO7" s="31">
        <f>'Исходные данные'!$C$35</f>
        <v>1.4</v>
      </c>
      <c r="AP7" s="31">
        <f>'Исходные данные'!$C$35</f>
        <v>1.4</v>
      </c>
      <c r="AQ7" s="32"/>
      <c r="AR7" s="32"/>
      <c r="AU7" s="31"/>
      <c r="AX7" s="18"/>
      <c r="AY7" s="18"/>
      <c r="AZ7" s="18"/>
      <c r="BA7" s="18"/>
      <c r="BB7" s="18"/>
    </row>
    <row r="8" spans="1:54" s="33" customFormat="1" outlineLevel="1">
      <c r="A8" s="222" t="s">
        <v>143</v>
      </c>
      <c r="B8" s="30"/>
      <c r="C8" s="31">
        <f>CHOOSE(C3,'Исходные данные'!$E$19,'Исходные данные'!$E$20,'Исходные данные'!$E$21,'Исходные данные'!$E$22,'Исходные данные'!$E$23,'Исходные данные'!$E$24,'Исходные данные'!$E$25,'Исходные данные'!$E$26,'Исходные данные'!$E$27,'Исходные данные'!$E$28,'Исходные данные'!$E$29,'Исходные данные'!$E$30)</f>
        <v>1</v>
      </c>
      <c r="D8" s="31">
        <f>CHOOSE(D3,'Исходные данные'!$E$19,'Исходные данные'!$E$20,'Исходные данные'!$E$21,'Исходные данные'!$E$22,'Исходные данные'!$E$23,'Исходные данные'!$E$24,'Исходные данные'!$E$25,'Исходные данные'!$E$26,'Исходные данные'!$E$27,'Исходные данные'!$E$28,'Исходные данные'!$E$29,'Исходные данные'!$E$30)</f>
        <v>1</v>
      </c>
      <c r="E8" s="31">
        <f>CHOOSE(E3,'Исходные данные'!$E$19,'Исходные данные'!$E$20,'Исходные данные'!$E$21,'Исходные данные'!$E$22,'Исходные данные'!$E$23,'Исходные данные'!$E$24,'Исходные данные'!$E$25,'Исходные данные'!$E$26,'Исходные данные'!$E$27,'Исходные данные'!$E$28,'Исходные данные'!$E$29,'Исходные данные'!$E$30)</f>
        <v>1</v>
      </c>
      <c r="F8" s="31">
        <f>CHOOSE(F3,'Исходные данные'!$E$19,'Исходные данные'!$E$20,'Исходные данные'!$E$21,'Исходные данные'!$E$22,'Исходные данные'!$E$23,'Исходные данные'!$E$24,'Исходные данные'!$E$25,'Исходные данные'!$E$26,'Исходные данные'!$E$27,'Исходные данные'!$E$28,'Исходные данные'!$E$29,'Исходные данные'!$E$30)</f>
        <v>1</v>
      </c>
      <c r="G8" s="31">
        <f>CHOOSE(G3,'Исходные данные'!$E$19,'Исходные данные'!$E$20,'Исходные данные'!$E$21,'Исходные данные'!$E$22,'Исходные данные'!$E$23,'Исходные данные'!$E$24,'Исходные данные'!$E$25,'Исходные данные'!$E$26,'Исходные данные'!$E$27,'Исходные данные'!$E$28,'Исходные данные'!$E$29,'Исходные данные'!$E$30)</f>
        <v>1</v>
      </c>
      <c r="H8" s="31">
        <f>CHOOSE(H3,'Исходные данные'!$E$19,'Исходные данные'!$E$20,'Исходные данные'!$E$21,'Исходные данные'!$E$22,'Исходные данные'!$E$23,'Исходные данные'!$E$24,'Исходные данные'!$E$25,'Исходные данные'!$E$26,'Исходные данные'!$E$27,'Исходные данные'!$E$28,'Исходные данные'!$E$29,'Исходные данные'!$E$30)</f>
        <v>1</v>
      </c>
      <c r="I8" s="31">
        <f>CHOOSE(I3,'Исходные данные'!$E$19,'Исходные данные'!$E$20,'Исходные данные'!$E$21,'Исходные данные'!$E$22,'Исходные данные'!$E$23,'Исходные данные'!$E$24,'Исходные данные'!$E$25,'Исходные данные'!$E$26,'Исходные данные'!$E$27,'Исходные данные'!$E$28,'Исходные данные'!$E$29,'Исходные данные'!$E$30)</f>
        <v>1</v>
      </c>
      <c r="J8" s="31">
        <f>CHOOSE(J3,'Исходные данные'!$E$19,'Исходные данные'!$E$20,'Исходные данные'!$E$21,'Исходные данные'!$E$22,'Исходные данные'!$E$23,'Исходные данные'!$E$24,'Исходные данные'!$E$25,'Исходные данные'!$E$26,'Исходные данные'!$E$27,'Исходные данные'!$E$28,'Исходные данные'!$E$29,'Исходные данные'!$E$30)</f>
        <v>1</v>
      </c>
      <c r="K8" s="31">
        <f>CHOOSE(K3,'Исходные данные'!$E$19,'Исходные данные'!$E$20,'Исходные данные'!$E$21,'Исходные данные'!$E$22,'Исходные данные'!$E$23,'Исходные данные'!$E$24,'Исходные данные'!$E$25,'Исходные данные'!$E$26,'Исходные данные'!$E$27,'Исходные данные'!$E$28,'Исходные данные'!$E$29,'Исходные данные'!$E$30)</f>
        <v>1</v>
      </c>
      <c r="L8" s="31">
        <f>CHOOSE(L3,'Исходные данные'!$E$19,'Исходные данные'!$E$20,'Исходные данные'!$E$21,'Исходные данные'!$E$22,'Исходные данные'!$E$23,'Исходные данные'!$E$24,'Исходные данные'!$E$25,'Исходные данные'!$E$26,'Исходные данные'!$E$27,'Исходные данные'!$E$28,'Исходные данные'!$E$29,'Исходные данные'!$E$30)</f>
        <v>1</v>
      </c>
      <c r="M8" s="31">
        <f>CHOOSE(M3,'Исходные данные'!$E$19,'Исходные данные'!$E$20,'Исходные данные'!$E$21,'Исходные данные'!$E$22,'Исходные данные'!$E$23,'Исходные данные'!$E$24,'Исходные данные'!$E$25,'Исходные данные'!$E$26,'Исходные данные'!$E$27,'Исходные данные'!$E$28,'Исходные данные'!$E$29,'Исходные данные'!$E$30)</f>
        <v>1</v>
      </c>
      <c r="N8" s="31">
        <f>CHOOSE(N3,'Исходные данные'!$E$19,'Исходные данные'!$E$20,'Исходные данные'!$E$21,'Исходные данные'!$E$22,'Исходные данные'!$E$23,'Исходные данные'!$E$24,'Исходные данные'!$E$25,'Исходные данные'!$E$26,'Исходные данные'!$E$27,'Исходные данные'!$E$28,'Исходные данные'!$E$29,'Исходные данные'!$E$30)</f>
        <v>1</v>
      </c>
      <c r="O8" s="32"/>
      <c r="P8" s="32"/>
      <c r="Q8" s="31">
        <f>CHOOSE(Q3,'Исходные данные'!$E$19,'Исходные данные'!$E$20,'Исходные данные'!$E$21,'Исходные данные'!$E$22,'Исходные данные'!$E$23,'Исходные данные'!$E$24,'Исходные данные'!$E$25,'Исходные данные'!$E$26,'Исходные данные'!$E$27,'Исходные данные'!$E$28,'Исходные данные'!$E$29,'Исходные данные'!$E$30)</f>
        <v>1</v>
      </c>
      <c r="R8" s="31">
        <f>CHOOSE(R3,'Исходные данные'!$E$19,'Исходные данные'!$E$20,'Исходные данные'!$E$21,'Исходные данные'!$E$22,'Исходные данные'!$E$23,'Исходные данные'!$E$24,'Исходные данные'!$E$25,'Исходные данные'!$E$26,'Исходные данные'!$E$27,'Исходные данные'!$E$28,'Исходные данные'!$E$29,'Исходные данные'!$E$30)</f>
        <v>1</v>
      </c>
      <c r="S8" s="31">
        <f>CHOOSE(S3,'Исходные данные'!$E$19,'Исходные данные'!$E$20,'Исходные данные'!$E$21,'Исходные данные'!$E$22,'Исходные данные'!$E$23,'Исходные данные'!$E$24,'Исходные данные'!$E$25,'Исходные данные'!$E$26,'Исходные данные'!$E$27,'Исходные данные'!$E$28,'Исходные данные'!$E$29,'Исходные данные'!$E$30)</f>
        <v>1</v>
      </c>
      <c r="T8" s="31">
        <f>CHOOSE(T3,'Исходные данные'!$E$19,'Исходные данные'!$E$20,'Исходные данные'!$E$21,'Исходные данные'!$E$22,'Исходные данные'!$E$23,'Исходные данные'!$E$24,'Исходные данные'!$E$25,'Исходные данные'!$E$26,'Исходные данные'!$E$27,'Исходные данные'!$E$28,'Исходные данные'!$E$29,'Исходные данные'!$E$30)</f>
        <v>1</v>
      </c>
      <c r="U8" s="31">
        <f>CHOOSE(U3,'Исходные данные'!$E$19,'Исходные данные'!$E$20,'Исходные данные'!$E$21,'Исходные данные'!$E$22,'Исходные данные'!$E$23,'Исходные данные'!$E$24,'Исходные данные'!$E$25,'Исходные данные'!$E$26,'Исходные данные'!$E$27,'Исходные данные'!$E$28,'Исходные данные'!$E$29,'Исходные данные'!$E$30)</f>
        <v>1</v>
      </c>
      <c r="V8" s="31">
        <f>CHOOSE(V3,'Исходные данные'!$E$19,'Исходные данные'!$E$20,'Исходные данные'!$E$21,'Исходные данные'!$E$22,'Исходные данные'!$E$23,'Исходные данные'!$E$24,'Исходные данные'!$E$25,'Исходные данные'!$E$26,'Исходные данные'!$E$27,'Исходные данные'!$E$28,'Исходные данные'!$E$29,'Исходные данные'!$E$30)</f>
        <v>1</v>
      </c>
      <c r="W8" s="31">
        <f>CHOOSE(W3,'Исходные данные'!$E$19,'Исходные данные'!$E$20,'Исходные данные'!$E$21,'Исходные данные'!$E$22,'Исходные данные'!$E$23,'Исходные данные'!$E$24,'Исходные данные'!$E$25,'Исходные данные'!$E$26,'Исходные данные'!$E$27,'Исходные данные'!$E$28,'Исходные данные'!$E$29,'Исходные данные'!$E$30)</f>
        <v>1</v>
      </c>
      <c r="X8" s="31">
        <f>CHOOSE(X3,'Исходные данные'!$E$19,'Исходные данные'!$E$20,'Исходные данные'!$E$21,'Исходные данные'!$E$22,'Исходные данные'!$E$23,'Исходные данные'!$E$24,'Исходные данные'!$E$25,'Исходные данные'!$E$26,'Исходные данные'!$E$27,'Исходные данные'!$E$28,'Исходные данные'!$E$29,'Исходные данные'!$E$30)</f>
        <v>1</v>
      </c>
      <c r="Y8" s="31">
        <f>CHOOSE(Y3,'Исходные данные'!$E$19,'Исходные данные'!$E$20,'Исходные данные'!$E$21,'Исходные данные'!$E$22,'Исходные данные'!$E$23,'Исходные данные'!$E$24,'Исходные данные'!$E$25,'Исходные данные'!$E$26,'Исходные данные'!$E$27,'Исходные данные'!$E$28,'Исходные данные'!$E$29,'Исходные данные'!$E$30)</f>
        <v>1</v>
      </c>
      <c r="Z8" s="31">
        <f>CHOOSE(Z3,'Исходные данные'!$E$19,'Исходные данные'!$E$20,'Исходные данные'!$E$21,'Исходные данные'!$E$22,'Исходные данные'!$E$23,'Исходные данные'!$E$24,'Исходные данные'!$E$25,'Исходные данные'!$E$26,'Исходные данные'!$E$27,'Исходные данные'!$E$28,'Исходные данные'!$E$29,'Исходные данные'!$E$30)</f>
        <v>1</v>
      </c>
      <c r="AA8" s="31">
        <f>CHOOSE(AA3,'Исходные данные'!$E$19,'Исходные данные'!$E$20,'Исходные данные'!$E$21,'Исходные данные'!$E$22,'Исходные данные'!$E$23,'Исходные данные'!$E$24,'Исходные данные'!$E$25,'Исходные данные'!$E$26,'Исходные данные'!$E$27,'Исходные данные'!$E$28,'Исходные данные'!$E$29,'Исходные данные'!$E$30)</f>
        <v>1</v>
      </c>
      <c r="AB8" s="31">
        <f>CHOOSE(AB3,'Исходные данные'!$E$19,'Исходные данные'!$E$20,'Исходные данные'!$E$21,'Исходные данные'!$E$22,'Исходные данные'!$E$23,'Исходные данные'!$E$24,'Исходные данные'!$E$25,'Исходные данные'!$E$26,'Исходные данные'!$E$27,'Исходные данные'!$E$28,'Исходные данные'!$E$29,'Исходные данные'!$E$30)</f>
        <v>1</v>
      </c>
      <c r="AC8" s="32"/>
      <c r="AD8" s="32"/>
      <c r="AE8" s="31">
        <f>CHOOSE(AE3,'Исходные данные'!$E$19,'Исходные данные'!$E$20,'Исходные данные'!$E$21,'Исходные данные'!$E$22,'Исходные данные'!$E$23,'Исходные данные'!$E$24,'Исходные данные'!$E$25,'Исходные данные'!$E$26,'Исходные данные'!$E$27,'Исходные данные'!$E$28,'Исходные данные'!$E$29,'Исходные данные'!$E$30)</f>
        <v>1</v>
      </c>
      <c r="AF8" s="31">
        <f>CHOOSE(AF3,'Исходные данные'!$E$19,'Исходные данные'!$E$20,'Исходные данные'!$E$21,'Исходные данные'!$E$22,'Исходные данные'!$E$23,'Исходные данные'!$E$24,'Исходные данные'!$E$25,'Исходные данные'!$E$26,'Исходные данные'!$E$27,'Исходные данные'!$E$28,'Исходные данные'!$E$29,'Исходные данные'!$E$30)</f>
        <v>1</v>
      </c>
      <c r="AG8" s="31">
        <f>CHOOSE(AG3,'Исходные данные'!$E$19,'Исходные данные'!$E$20,'Исходные данные'!$E$21,'Исходные данные'!$E$22,'Исходные данные'!$E$23,'Исходные данные'!$E$24,'Исходные данные'!$E$25,'Исходные данные'!$E$26,'Исходные данные'!$E$27,'Исходные данные'!$E$28,'Исходные данные'!$E$29,'Исходные данные'!$E$30)</f>
        <v>1</v>
      </c>
      <c r="AH8" s="31">
        <f>CHOOSE(AH3,'Исходные данные'!$E$19,'Исходные данные'!$E$20,'Исходные данные'!$E$21,'Исходные данные'!$E$22,'Исходные данные'!$E$23,'Исходные данные'!$E$24,'Исходные данные'!$E$25,'Исходные данные'!$E$26,'Исходные данные'!$E$27,'Исходные данные'!$E$28,'Исходные данные'!$E$29,'Исходные данные'!$E$30)</f>
        <v>1</v>
      </c>
      <c r="AI8" s="31">
        <f>CHOOSE(AI3,'Исходные данные'!$E$19,'Исходные данные'!$E$20,'Исходные данные'!$E$21,'Исходные данные'!$E$22,'Исходные данные'!$E$23,'Исходные данные'!$E$24,'Исходные данные'!$E$25,'Исходные данные'!$E$26,'Исходные данные'!$E$27,'Исходные данные'!$E$28,'Исходные данные'!$E$29,'Исходные данные'!$E$30)</f>
        <v>1</v>
      </c>
      <c r="AJ8" s="31">
        <f>CHOOSE(AJ3,'Исходные данные'!$E$19,'Исходные данные'!$E$20,'Исходные данные'!$E$21,'Исходные данные'!$E$22,'Исходные данные'!$E$23,'Исходные данные'!$E$24,'Исходные данные'!$E$25,'Исходные данные'!$E$26,'Исходные данные'!$E$27,'Исходные данные'!$E$28,'Исходные данные'!$E$29,'Исходные данные'!$E$30)</f>
        <v>1</v>
      </c>
      <c r="AK8" s="31">
        <f>CHOOSE(AK3,'Исходные данные'!$E$19,'Исходные данные'!$E$20,'Исходные данные'!$E$21,'Исходные данные'!$E$22,'Исходные данные'!$E$23,'Исходные данные'!$E$24,'Исходные данные'!$E$25,'Исходные данные'!$E$26,'Исходные данные'!$E$27,'Исходные данные'!$E$28,'Исходные данные'!$E$29,'Исходные данные'!$E$30)</f>
        <v>1</v>
      </c>
      <c r="AL8" s="31">
        <f>CHOOSE(AL3,'Исходные данные'!$E$19,'Исходные данные'!$E$20,'Исходные данные'!$E$21,'Исходные данные'!$E$22,'Исходные данные'!$E$23,'Исходные данные'!$E$24,'Исходные данные'!$E$25,'Исходные данные'!$E$26,'Исходные данные'!$E$27,'Исходные данные'!$E$28,'Исходные данные'!$E$29,'Исходные данные'!$E$30)</f>
        <v>1</v>
      </c>
      <c r="AM8" s="31">
        <f>CHOOSE(AM3,'Исходные данные'!$E$19,'Исходные данные'!$E$20,'Исходные данные'!$E$21,'Исходные данные'!$E$22,'Исходные данные'!$E$23,'Исходные данные'!$E$24,'Исходные данные'!$E$25,'Исходные данные'!$E$26,'Исходные данные'!$E$27,'Исходные данные'!$E$28,'Исходные данные'!$E$29,'Исходные данные'!$E$30)</f>
        <v>1</v>
      </c>
      <c r="AN8" s="31">
        <f>CHOOSE(AN3,'Исходные данные'!$E$19,'Исходные данные'!$E$20,'Исходные данные'!$E$21,'Исходные данные'!$E$22,'Исходные данные'!$E$23,'Исходные данные'!$E$24,'Исходные данные'!$E$25,'Исходные данные'!$E$26,'Исходные данные'!$E$27,'Исходные данные'!$E$28,'Исходные данные'!$E$29,'Исходные данные'!$E$30)</f>
        <v>1</v>
      </c>
      <c r="AO8" s="31">
        <f>CHOOSE(AO3,'Исходные данные'!$E$19,'Исходные данные'!$E$20,'Исходные данные'!$E$21,'Исходные данные'!$E$22,'Исходные данные'!$E$23,'Исходные данные'!$E$24,'Исходные данные'!$E$25,'Исходные данные'!$E$26,'Исходные данные'!$E$27,'Исходные данные'!$E$28,'Исходные данные'!$E$29,'Исходные данные'!$E$30)</f>
        <v>1</v>
      </c>
      <c r="AP8" s="31">
        <f>CHOOSE(AP3,'Исходные данные'!$E$19,'Исходные данные'!$E$20,'Исходные данные'!$E$21,'Исходные данные'!$E$22,'Исходные данные'!$E$23,'Исходные данные'!$E$24,'Исходные данные'!$E$25,'Исходные данные'!$E$26,'Исходные данные'!$E$27,'Исходные данные'!$E$28,'Исходные данные'!$E$29,'Исходные данные'!$E$30)</f>
        <v>1</v>
      </c>
      <c r="AQ8" s="32"/>
      <c r="AR8" s="32"/>
      <c r="AU8" s="31"/>
      <c r="AX8" s="18"/>
      <c r="AY8" s="18"/>
      <c r="AZ8" s="18"/>
      <c r="BA8" s="18"/>
      <c r="BB8" s="18"/>
    </row>
    <row r="9" spans="1:54" s="33" customFormat="1" outlineLevel="1">
      <c r="A9" s="30" t="s">
        <v>114</v>
      </c>
      <c r="B9" s="30"/>
      <c r="C9" s="31">
        <v>1</v>
      </c>
      <c r="D9" s="31">
        <v>1</v>
      </c>
      <c r="E9" s="31">
        <v>1</v>
      </c>
      <c r="F9" s="31">
        <v>1</v>
      </c>
      <c r="G9" s="31">
        <v>1</v>
      </c>
      <c r="H9" s="31">
        <v>1</v>
      </c>
      <c r="I9" s="31">
        <v>1</v>
      </c>
      <c r="J9" s="31">
        <v>1</v>
      </c>
      <c r="K9" s="31">
        <v>1</v>
      </c>
      <c r="L9" s="31">
        <v>1</v>
      </c>
      <c r="M9" s="31">
        <v>1</v>
      </c>
      <c r="N9" s="31">
        <v>1</v>
      </c>
      <c r="O9" s="32"/>
      <c r="P9" s="32"/>
      <c r="Q9" s="31">
        <f>'Исходные данные'!$D$34</f>
        <v>1.2</v>
      </c>
      <c r="R9" s="31">
        <f>'Исходные данные'!$D$34</f>
        <v>1.2</v>
      </c>
      <c r="S9" s="31">
        <f>'Исходные данные'!$D$34</f>
        <v>1.2</v>
      </c>
      <c r="T9" s="31">
        <f>'Исходные данные'!$D$34</f>
        <v>1.2</v>
      </c>
      <c r="U9" s="31">
        <f>'Исходные данные'!$D$34</f>
        <v>1.2</v>
      </c>
      <c r="V9" s="31">
        <f>'Исходные данные'!$D$34</f>
        <v>1.2</v>
      </c>
      <c r="W9" s="31">
        <f>'Исходные данные'!$D$34</f>
        <v>1.2</v>
      </c>
      <c r="X9" s="31">
        <f>'Исходные данные'!$D$34</f>
        <v>1.2</v>
      </c>
      <c r="Y9" s="31">
        <f>'Исходные данные'!$D$34</f>
        <v>1.2</v>
      </c>
      <c r="Z9" s="31">
        <f>'Исходные данные'!$D$34</f>
        <v>1.2</v>
      </c>
      <c r="AA9" s="31">
        <f>'Исходные данные'!$D$34</f>
        <v>1.2</v>
      </c>
      <c r="AB9" s="31">
        <f>'Исходные данные'!$D$34</f>
        <v>1.2</v>
      </c>
      <c r="AC9" s="32"/>
      <c r="AD9" s="32"/>
      <c r="AE9" s="31">
        <f>'Исходные данные'!$D$35</f>
        <v>1.4</v>
      </c>
      <c r="AF9" s="31">
        <f>'Исходные данные'!$D$35</f>
        <v>1.4</v>
      </c>
      <c r="AG9" s="31">
        <f>'Исходные данные'!$D$35</f>
        <v>1.4</v>
      </c>
      <c r="AH9" s="31">
        <f>'Исходные данные'!$D$35</f>
        <v>1.4</v>
      </c>
      <c r="AI9" s="31">
        <f>'Исходные данные'!$D$35</f>
        <v>1.4</v>
      </c>
      <c r="AJ9" s="31">
        <f>'Исходные данные'!$D$35</f>
        <v>1.4</v>
      </c>
      <c r="AK9" s="31">
        <f>'Исходные данные'!$D$35</f>
        <v>1.4</v>
      </c>
      <c r="AL9" s="31">
        <f>'Исходные данные'!$D$35</f>
        <v>1.4</v>
      </c>
      <c r="AM9" s="31">
        <f>'Исходные данные'!$D$35</f>
        <v>1.4</v>
      </c>
      <c r="AN9" s="31">
        <f>'Исходные данные'!$D$35</f>
        <v>1.4</v>
      </c>
      <c r="AO9" s="31">
        <f>'Исходные данные'!$D$35</f>
        <v>1.4</v>
      </c>
      <c r="AP9" s="31">
        <f>'Исходные данные'!$D$35</f>
        <v>1.4</v>
      </c>
      <c r="AQ9" s="32"/>
      <c r="AR9" s="32"/>
      <c r="AU9" s="31"/>
      <c r="AX9" s="18"/>
      <c r="AY9" s="18"/>
      <c r="AZ9" s="18"/>
      <c r="BA9" s="18"/>
      <c r="BB9" s="18"/>
    </row>
    <row r="10" spans="1:54" s="33" customFormat="1" outlineLevel="1">
      <c r="A10" s="30" t="s">
        <v>76</v>
      </c>
      <c r="B10" s="30"/>
      <c r="C10" s="31">
        <v>1</v>
      </c>
      <c r="D10" s="31">
        <v>1</v>
      </c>
      <c r="E10" s="31">
        <v>1</v>
      </c>
      <c r="F10" s="31">
        <v>1</v>
      </c>
      <c r="G10" s="31">
        <v>1</v>
      </c>
      <c r="H10" s="31">
        <v>1</v>
      </c>
      <c r="I10" s="31">
        <v>1</v>
      </c>
      <c r="J10" s="31">
        <v>1</v>
      </c>
      <c r="K10" s="31">
        <v>1</v>
      </c>
      <c r="L10" s="31">
        <v>1</v>
      </c>
      <c r="M10" s="31">
        <v>1</v>
      </c>
      <c r="N10" s="31">
        <v>1</v>
      </c>
      <c r="O10" s="32"/>
      <c r="P10" s="32"/>
      <c r="Q10" s="31">
        <f>'Исходные данные'!$F$34</f>
        <v>1</v>
      </c>
      <c r="R10" s="31">
        <f>'Исходные данные'!$F$34</f>
        <v>1</v>
      </c>
      <c r="S10" s="31">
        <f>'Исходные данные'!$F$34</f>
        <v>1</v>
      </c>
      <c r="T10" s="31">
        <f>'Исходные данные'!$F$34</f>
        <v>1</v>
      </c>
      <c r="U10" s="31">
        <f>'Исходные данные'!$F$34</f>
        <v>1</v>
      </c>
      <c r="V10" s="31">
        <f>'Исходные данные'!$F$34</f>
        <v>1</v>
      </c>
      <c r="W10" s="31">
        <f>'Исходные данные'!$F$34</f>
        <v>1</v>
      </c>
      <c r="X10" s="31">
        <f>'Исходные данные'!$F$34</f>
        <v>1</v>
      </c>
      <c r="Y10" s="31">
        <f>'Исходные данные'!$F$34</f>
        <v>1</v>
      </c>
      <c r="Z10" s="31">
        <f>'Исходные данные'!$F$34</f>
        <v>1</v>
      </c>
      <c r="AA10" s="31">
        <f>'Исходные данные'!$F$34</f>
        <v>1</v>
      </c>
      <c r="AB10" s="31">
        <f>'Исходные данные'!$F$34</f>
        <v>1</v>
      </c>
      <c r="AC10" s="32"/>
      <c r="AD10" s="32"/>
      <c r="AE10" s="31">
        <f>'Исходные данные'!$F$35</f>
        <v>1</v>
      </c>
      <c r="AF10" s="31">
        <f>'Исходные данные'!$F$35</f>
        <v>1</v>
      </c>
      <c r="AG10" s="31">
        <f>'Исходные данные'!$F$35</f>
        <v>1</v>
      </c>
      <c r="AH10" s="31">
        <f>'Исходные данные'!$F$35</f>
        <v>1</v>
      </c>
      <c r="AI10" s="31">
        <f>'Исходные данные'!$F$35</f>
        <v>1</v>
      </c>
      <c r="AJ10" s="31">
        <f>'Исходные данные'!$F$35</f>
        <v>1</v>
      </c>
      <c r="AK10" s="31">
        <f>'Исходные данные'!$F$35</f>
        <v>1</v>
      </c>
      <c r="AL10" s="31">
        <f>'Исходные данные'!$F$35</f>
        <v>1</v>
      </c>
      <c r="AM10" s="31">
        <f>'Исходные данные'!$F$35</f>
        <v>1</v>
      </c>
      <c r="AN10" s="31">
        <f>'Исходные данные'!$F$35</f>
        <v>1</v>
      </c>
      <c r="AO10" s="31">
        <f>'Исходные данные'!$F$35</f>
        <v>1</v>
      </c>
      <c r="AP10" s="31">
        <f>'Исходные данные'!$F$35</f>
        <v>1</v>
      </c>
      <c r="AQ10" s="32"/>
      <c r="AR10" s="32"/>
      <c r="AU10" s="31"/>
      <c r="AX10" s="18"/>
      <c r="AY10" s="18"/>
      <c r="AZ10" s="18"/>
      <c r="BA10" s="18"/>
      <c r="BB10" s="18"/>
    </row>
    <row r="11" spans="1:54" s="30" customFormat="1" ht="11.25" outlineLevel="1">
      <c r="A11" s="34" t="s">
        <v>104</v>
      </c>
      <c r="B11" s="35"/>
      <c r="C11" s="31">
        <v>1</v>
      </c>
      <c r="D11" s="31">
        <v>1</v>
      </c>
      <c r="E11" s="31">
        <v>1</v>
      </c>
      <c r="F11" s="31">
        <v>1</v>
      </c>
      <c r="G11" s="31">
        <v>1</v>
      </c>
      <c r="H11" s="31">
        <v>1</v>
      </c>
      <c r="I11" s="31">
        <v>1</v>
      </c>
      <c r="J11" s="31">
        <v>1</v>
      </c>
      <c r="K11" s="31">
        <v>1</v>
      </c>
      <c r="L11" s="31">
        <v>1</v>
      </c>
      <c r="M11" s="31">
        <v>1</v>
      </c>
      <c r="N11" s="31">
        <v>1</v>
      </c>
      <c r="O11" s="32"/>
      <c r="P11" s="32"/>
      <c r="Q11" s="31">
        <f>'Исходные данные'!$H$34</f>
        <v>1</v>
      </c>
      <c r="R11" s="31">
        <f>'Исходные данные'!$H$34</f>
        <v>1</v>
      </c>
      <c r="S11" s="31">
        <f>'Исходные данные'!$H$34</f>
        <v>1</v>
      </c>
      <c r="T11" s="31">
        <f>'Исходные данные'!$H$34</f>
        <v>1</v>
      </c>
      <c r="U11" s="31">
        <f>'Исходные данные'!$H$34</f>
        <v>1</v>
      </c>
      <c r="V11" s="31">
        <f>'Исходные данные'!$H$34</f>
        <v>1</v>
      </c>
      <c r="W11" s="31">
        <f>'Исходные данные'!$H$34</f>
        <v>1</v>
      </c>
      <c r="X11" s="31">
        <f>'Исходные данные'!$H$34</f>
        <v>1</v>
      </c>
      <c r="Y11" s="31">
        <f>'Исходные данные'!$H$34</f>
        <v>1</v>
      </c>
      <c r="Z11" s="31">
        <f>'Исходные данные'!$H$34</f>
        <v>1</v>
      </c>
      <c r="AA11" s="31">
        <f>'Исходные данные'!$H$34</f>
        <v>1</v>
      </c>
      <c r="AB11" s="31">
        <f>'Исходные данные'!$H$34</f>
        <v>1</v>
      </c>
      <c r="AC11" s="32"/>
      <c r="AD11" s="32"/>
      <c r="AE11" s="31">
        <f>'Исходные данные'!$H$35</f>
        <v>1</v>
      </c>
      <c r="AF11" s="31">
        <f>'Исходные данные'!$H$35</f>
        <v>1</v>
      </c>
      <c r="AG11" s="31">
        <f>'Исходные данные'!$H$35</f>
        <v>1</v>
      </c>
      <c r="AH11" s="31">
        <f>'Исходные данные'!$H$35</f>
        <v>1</v>
      </c>
      <c r="AI11" s="31">
        <f>'Исходные данные'!$H$35</f>
        <v>1</v>
      </c>
      <c r="AJ11" s="31">
        <f>'Исходные данные'!$H$35</f>
        <v>1</v>
      </c>
      <c r="AK11" s="31">
        <f>'Исходные данные'!$H$35</f>
        <v>1</v>
      </c>
      <c r="AL11" s="31">
        <f>'Исходные данные'!$H$35</f>
        <v>1</v>
      </c>
      <c r="AM11" s="31">
        <f>'Исходные данные'!$H$35</f>
        <v>1</v>
      </c>
      <c r="AN11" s="31">
        <f>'Исходные данные'!$H$35</f>
        <v>1</v>
      </c>
      <c r="AO11" s="31">
        <f>'Исходные данные'!$H$35</f>
        <v>1</v>
      </c>
      <c r="AP11" s="31">
        <f>'Исходные данные'!$H$35</f>
        <v>1</v>
      </c>
      <c r="AQ11" s="32"/>
      <c r="AR11" s="32"/>
      <c r="AS11" s="31"/>
      <c r="AU11" s="31"/>
      <c r="AX11" s="18"/>
      <c r="AY11" s="18"/>
      <c r="AZ11" s="18"/>
      <c r="BA11" s="18"/>
      <c r="BB11" s="18"/>
    </row>
    <row r="12" spans="1:54" s="33" customFormat="1" outlineLevel="1">
      <c r="A12" s="30" t="s">
        <v>105</v>
      </c>
      <c r="B12" s="30"/>
      <c r="C12" s="31">
        <v>1</v>
      </c>
      <c r="D12" s="31">
        <v>1</v>
      </c>
      <c r="E12" s="31">
        <v>1</v>
      </c>
      <c r="F12" s="31">
        <v>1</v>
      </c>
      <c r="G12" s="31">
        <v>1</v>
      </c>
      <c r="H12" s="31">
        <v>1</v>
      </c>
      <c r="I12" s="31">
        <v>1</v>
      </c>
      <c r="J12" s="31">
        <v>1</v>
      </c>
      <c r="K12" s="31">
        <v>1</v>
      </c>
      <c r="L12" s="31">
        <v>1</v>
      </c>
      <c r="M12" s="31">
        <v>1</v>
      </c>
      <c r="N12" s="31">
        <v>1</v>
      </c>
      <c r="O12" s="32"/>
      <c r="P12" s="32"/>
      <c r="Q12" s="31">
        <f>'Исходные данные'!$J$34</f>
        <v>1</v>
      </c>
      <c r="R12" s="31">
        <f>'Исходные данные'!$J$34</f>
        <v>1</v>
      </c>
      <c r="S12" s="31">
        <f>'Исходные данные'!$J$34</f>
        <v>1</v>
      </c>
      <c r="T12" s="31">
        <f>'Исходные данные'!$J$34</f>
        <v>1</v>
      </c>
      <c r="U12" s="31">
        <f>'Исходные данные'!$J$34</f>
        <v>1</v>
      </c>
      <c r="V12" s="31">
        <f>'Исходные данные'!$J$34</f>
        <v>1</v>
      </c>
      <c r="W12" s="31">
        <f>'Исходные данные'!$J$34</f>
        <v>1</v>
      </c>
      <c r="X12" s="31">
        <f>'Исходные данные'!$J$34</f>
        <v>1</v>
      </c>
      <c r="Y12" s="31">
        <f>'Исходные данные'!$J$34</f>
        <v>1</v>
      </c>
      <c r="Z12" s="31">
        <f>'Исходные данные'!$J$34</f>
        <v>1</v>
      </c>
      <c r="AA12" s="31">
        <f>'Исходные данные'!$J$34</f>
        <v>1</v>
      </c>
      <c r="AB12" s="31">
        <f>'Исходные данные'!$J$34</f>
        <v>1</v>
      </c>
      <c r="AC12" s="32"/>
      <c r="AD12" s="32"/>
      <c r="AE12" s="31">
        <f>'Исходные данные'!$J$35</f>
        <v>1</v>
      </c>
      <c r="AF12" s="31">
        <f>'Исходные данные'!$J$35</f>
        <v>1</v>
      </c>
      <c r="AG12" s="31">
        <f>'Исходные данные'!$J$35</f>
        <v>1</v>
      </c>
      <c r="AH12" s="31">
        <f>'Исходные данные'!$J$35</f>
        <v>1</v>
      </c>
      <c r="AI12" s="31">
        <f>'Исходные данные'!$J$35</f>
        <v>1</v>
      </c>
      <c r="AJ12" s="31">
        <f>'Исходные данные'!$J$35</f>
        <v>1</v>
      </c>
      <c r="AK12" s="31">
        <f>'Исходные данные'!$J$35</f>
        <v>1</v>
      </c>
      <c r="AL12" s="31">
        <f>'Исходные данные'!$J$35</f>
        <v>1</v>
      </c>
      <c r="AM12" s="31">
        <f>'Исходные данные'!$J$35</f>
        <v>1</v>
      </c>
      <c r="AN12" s="31">
        <f>'Исходные данные'!$J$35</f>
        <v>1</v>
      </c>
      <c r="AO12" s="31">
        <f>'Исходные данные'!$J$35</f>
        <v>1</v>
      </c>
      <c r="AP12" s="31">
        <f>'Исходные данные'!$J$35</f>
        <v>1</v>
      </c>
      <c r="AQ12" s="32"/>
      <c r="AR12" s="32"/>
      <c r="AU12" s="31"/>
      <c r="AX12" s="18"/>
      <c r="AY12" s="18"/>
      <c r="AZ12" s="18"/>
      <c r="BA12" s="18"/>
      <c r="BB12" s="18"/>
    </row>
    <row r="13" spans="1:54" s="30" customFormat="1" ht="11.25" outlineLevel="1">
      <c r="A13" s="34" t="s">
        <v>106</v>
      </c>
      <c r="B13" s="35"/>
      <c r="C13" s="31">
        <v>1</v>
      </c>
      <c r="D13" s="31">
        <v>1</v>
      </c>
      <c r="E13" s="31">
        <v>1</v>
      </c>
      <c r="F13" s="31">
        <v>1</v>
      </c>
      <c r="G13" s="31">
        <v>1</v>
      </c>
      <c r="H13" s="31">
        <v>1</v>
      </c>
      <c r="I13" s="31">
        <v>1</v>
      </c>
      <c r="J13" s="31">
        <v>1</v>
      </c>
      <c r="K13" s="31">
        <v>1</v>
      </c>
      <c r="L13" s="31">
        <v>1</v>
      </c>
      <c r="M13" s="31">
        <v>1</v>
      </c>
      <c r="N13" s="31">
        <v>1</v>
      </c>
      <c r="O13" s="32"/>
      <c r="P13" s="32"/>
      <c r="Q13" s="31">
        <f>'Исходные данные'!$L$34</f>
        <v>1</v>
      </c>
      <c r="R13" s="31">
        <f>'Исходные данные'!$L$34</f>
        <v>1</v>
      </c>
      <c r="S13" s="31">
        <f>'Исходные данные'!$L$34</f>
        <v>1</v>
      </c>
      <c r="T13" s="31">
        <f>'Исходные данные'!$L$34</f>
        <v>1</v>
      </c>
      <c r="U13" s="31">
        <f>'Исходные данные'!$L$34</f>
        <v>1</v>
      </c>
      <c r="V13" s="31">
        <f>'Исходные данные'!$L$34</f>
        <v>1</v>
      </c>
      <c r="W13" s="31">
        <f>'Исходные данные'!$L$34</f>
        <v>1</v>
      </c>
      <c r="X13" s="31">
        <f>'Исходные данные'!$L$34</f>
        <v>1</v>
      </c>
      <c r="Y13" s="31">
        <f>'Исходные данные'!$L$34</f>
        <v>1</v>
      </c>
      <c r="Z13" s="31">
        <f>'Исходные данные'!$L$34</f>
        <v>1</v>
      </c>
      <c r="AA13" s="31">
        <f>'Исходные данные'!$L$34</f>
        <v>1</v>
      </c>
      <c r="AB13" s="31">
        <f>'Исходные данные'!$L$34</f>
        <v>1</v>
      </c>
      <c r="AC13" s="32"/>
      <c r="AD13" s="32"/>
      <c r="AE13" s="31">
        <f>'Исходные данные'!$L$35</f>
        <v>1</v>
      </c>
      <c r="AF13" s="31">
        <f>'Исходные данные'!$L$35</f>
        <v>1</v>
      </c>
      <c r="AG13" s="31">
        <f>'Исходные данные'!$L$35</f>
        <v>1</v>
      </c>
      <c r="AH13" s="31">
        <f>'Исходные данные'!$L$35</f>
        <v>1</v>
      </c>
      <c r="AI13" s="31">
        <f>'Исходные данные'!$L$35</f>
        <v>1</v>
      </c>
      <c r="AJ13" s="31">
        <f>'Исходные данные'!$L$35</f>
        <v>1</v>
      </c>
      <c r="AK13" s="31">
        <f>'Исходные данные'!$L$35</f>
        <v>1</v>
      </c>
      <c r="AL13" s="31">
        <f>'Исходные данные'!$L$35</f>
        <v>1</v>
      </c>
      <c r="AM13" s="31">
        <f>'Исходные данные'!$L$35</f>
        <v>1</v>
      </c>
      <c r="AN13" s="31">
        <f>'Исходные данные'!$L$35</f>
        <v>1</v>
      </c>
      <c r="AO13" s="31">
        <f>'Исходные данные'!$L$35</f>
        <v>1</v>
      </c>
      <c r="AP13" s="31">
        <f>'Исходные данные'!$L$35</f>
        <v>1</v>
      </c>
      <c r="AQ13" s="32"/>
      <c r="AR13" s="32"/>
      <c r="AS13" s="31"/>
      <c r="AU13" s="31"/>
      <c r="AX13" s="18"/>
      <c r="AY13" s="18"/>
      <c r="AZ13" s="18"/>
      <c r="BA13" s="18"/>
      <c r="BB13" s="18"/>
    </row>
    <row r="14" spans="1:54" s="18" customFormat="1" ht="11.25" outlineLevel="1">
      <c r="A14" s="18" t="s">
        <v>77</v>
      </c>
      <c r="O14" s="36"/>
      <c r="P14" s="36"/>
      <c r="AC14" s="36"/>
      <c r="AD14" s="36"/>
      <c r="AQ14" s="36"/>
      <c r="AR14" s="36"/>
      <c r="AU14" s="31"/>
    </row>
    <row r="15" spans="1:54" s="18" customFormat="1" ht="13.5" customHeight="1" thickBot="1">
      <c r="A15" s="24"/>
      <c r="B15" s="24"/>
      <c r="C15" s="355" t="s">
        <v>31</v>
      </c>
      <c r="D15" s="356"/>
      <c r="E15" s="356"/>
      <c r="F15" s="356"/>
      <c r="G15" s="356"/>
      <c r="H15" s="356"/>
      <c r="I15" s="356"/>
      <c r="J15" s="356"/>
      <c r="K15" s="356"/>
      <c r="L15" s="356"/>
      <c r="M15" s="356"/>
      <c r="N15" s="356"/>
      <c r="O15" s="356"/>
      <c r="P15" s="357"/>
      <c r="Q15" s="355" t="s">
        <v>32</v>
      </c>
      <c r="R15" s="356"/>
      <c r="S15" s="356"/>
      <c r="T15" s="356"/>
      <c r="U15" s="356"/>
      <c r="V15" s="356"/>
      <c r="W15" s="356"/>
      <c r="X15" s="356"/>
      <c r="Y15" s="356"/>
      <c r="Z15" s="356"/>
      <c r="AA15" s="356"/>
      <c r="AB15" s="356"/>
      <c r="AC15" s="356"/>
      <c r="AD15" s="357"/>
      <c r="AE15" s="358" t="s">
        <v>34</v>
      </c>
      <c r="AF15" s="358"/>
      <c r="AG15" s="358"/>
      <c r="AH15" s="358"/>
      <c r="AI15" s="358"/>
      <c r="AJ15" s="358"/>
      <c r="AK15" s="358"/>
      <c r="AL15" s="358"/>
      <c r="AM15" s="358"/>
      <c r="AN15" s="358"/>
      <c r="AO15" s="358"/>
      <c r="AP15" s="358"/>
      <c r="AQ15" s="358"/>
      <c r="AR15" s="358"/>
      <c r="AS15" s="350" t="s">
        <v>41</v>
      </c>
      <c r="AU15" s="31"/>
    </row>
    <row r="16" spans="1:54" s="41" customFormat="1" ht="24" thickTop="1" thickBot="1">
      <c r="A16" s="37" t="s">
        <v>7</v>
      </c>
      <c r="B16" s="38"/>
      <c r="C16" s="39" t="str">
        <f t="shared" ref="C16:N16" si="2">C$6</f>
        <v>январь</v>
      </c>
      <c r="D16" s="39" t="str">
        <f t="shared" si="2"/>
        <v>февраль</v>
      </c>
      <c r="E16" s="39" t="str">
        <f t="shared" si="2"/>
        <v>март</v>
      </c>
      <c r="F16" s="39" t="str">
        <f t="shared" si="2"/>
        <v>апрель</v>
      </c>
      <c r="G16" s="39" t="str">
        <f t="shared" si="2"/>
        <v>май</v>
      </c>
      <c r="H16" s="39" t="str">
        <f t="shared" si="2"/>
        <v>июнь</v>
      </c>
      <c r="I16" s="39" t="str">
        <f t="shared" si="2"/>
        <v>июль</v>
      </c>
      <c r="J16" s="39" t="str">
        <f t="shared" si="2"/>
        <v>август</v>
      </c>
      <c r="K16" s="39" t="str">
        <f t="shared" si="2"/>
        <v>сентябрь</v>
      </c>
      <c r="L16" s="39" t="str">
        <f t="shared" si="2"/>
        <v>октябрь</v>
      </c>
      <c r="M16" s="39" t="str">
        <f t="shared" si="2"/>
        <v>ноябрь</v>
      </c>
      <c r="N16" s="39" t="str">
        <f t="shared" si="2"/>
        <v>декабрь</v>
      </c>
      <c r="O16" s="40" t="s">
        <v>35</v>
      </c>
      <c r="P16" s="40" t="s">
        <v>36</v>
      </c>
      <c r="Q16" s="39" t="str">
        <f t="shared" ref="Q16:AB16" si="3">Q$6</f>
        <v>январь</v>
      </c>
      <c r="R16" s="39" t="str">
        <f t="shared" si="3"/>
        <v>февраль</v>
      </c>
      <c r="S16" s="39" t="str">
        <f t="shared" si="3"/>
        <v>март</v>
      </c>
      <c r="T16" s="39" t="str">
        <f t="shared" si="3"/>
        <v>апрель</v>
      </c>
      <c r="U16" s="39" t="str">
        <f t="shared" si="3"/>
        <v>май</v>
      </c>
      <c r="V16" s="39" t="str">
        <f t="shared" si="3"/>
        <v>июнь</v>
      </c>
      <c r="W16" s="39" t="str">
        <f t="shared" si="3"/>
        <v>июль</v>
      </c>
      <c r="X16" s="39" t="str">
        <f t="shared" si="3"/>
        <v>август</v>
      </c>
      <c r="Y16" s="39" t="str">
        <f t="shared" si="3"/>
        <v>сентябрь</v>
      </c>
      <c r="Z16" s="39" t="str">
        <f t="shared" si="3"/>
        <v>октябрь</v>
      </c>
      <c r="AA16" s="39" t="str">
        <f t="shared" si="3"/>
        <v>ноябрь</v>
      </c>
      <c r="AB16" s="39" t="str">
        <f t="shared" si="3"/>
        <v>декабрь</v>
      </c>
      <c r="AC16" s="40" t="s">
        <v>38</v>
      </c>
      <c r="AD16" s="40" t="s">
        <v>37</v>
      </c>
      <c r="AE16" s="39" t="str">
        <f t="shared" ref="AE16:AP16" si="4">AE$6</f>
        <v>январь</v>
      </c>
      <c r="AF16" s="39" t="str">
        <f t="shared" si="4"/>
        <v>февраль</v>
      </c>
      <c r="AG16" s="39" t="str">
        <f t="shared" si="4"/>
        <v>март</v>
      </c>
      <c r="AH16" s="39" t="str">
        <f t="shared" si="4"/>
        <v>апрель</v>
      </c>
      <c r="AI16" s="39" t="str">
        <f t="shared" si="4"/>
        <v>май</v>
      </c>
      <c r="AJ16" s="39" t="str">
        <f t="shared" si="4"/>
        <v>июнь</v>
      </c>
      <c r="AK16" s="39" t="str">
        <f t="shared" si="4"/>
        <v>июль</v>
      </c>
      <c r="AL16" s="39" t="str">
        <f t="shared" si="4"/>
        <v>август</v>
      </c>
      <c r="AM16" s="39" t="str">
        <f t="shared" si="4"/>
        <v>сентябрь</v>
      </c>
      <c r="AN16" s="39" t="str">
        <f t="shared" si="4"/>
        <v>октябрь</v>
      </c>
      <c r="AO16" s="39" t="str">
        <f t="shared" si="4"/>
        <v>ноябрь</v>
      </c>
      <c r="AP16" s="39" t="str">
        <f t="shared" si="4"/>
        <v>декабрь</v>
      </c>
      <c r="AQ16" s="40" t="s">
        <v>39</v>
      </c>
      <c r="AR16" s="40" t="s">
        <v>40</v>
      </c>
      <c r="AS16" s="351"/>
      <c r="AX16" s="18"/>
      <c r="AY16" s="18"/>
      <c r="AZ16" s="18"/>
      <c r="BA16" s="18"/>
      <c r="BB16" s="18"/>
    </row>
    <row r="17" spans="1:54" s="47" customFormat="1" ht="12" thickTop="1">
      <c r="A17" s="63" t="str">
        <f>'Обобщенный расчет'!A8</f>
        <v>Столешницы кухонные</v>
      </c>
      <c r="B17" s="42" t="str">
        <f>CHOOSE('Исходные данные'!$S$2,'Исходные данные'!$T$2,'Исходные данные'!$T$3,'Исходные данные'!$T$4,'Исходные данные'!$T$5)</f>
        <v>RUB</v>
      </c>
      <c r="C17" s="43">
        <f>C$7*C$8*'Исходные данные'!$E$10*'Исходные данные'!$G$10</f>
        <v>112000</v>
      </c>
      <c r="D17" s="43">
        <f>D$7*D$8*'Исходные данные'!$E$10*'Исходные данные'!$I$10</f>
        <v>160000</v>
      </c>
      <c r="E17" s="43">
        <f>E$7*E$8*'Исходные данные'!$E$10*'Исходные данные'!$K$10</f>
        <v>252000</v>
      </c>
      <c r="F17" s="43">
        <f>F$7*F$8*'Исходные данные'!$E$10*'Исходные данные'!$G$10</f>
        <v>160000</v>
      </c>
      <c r="G17" s="43">
        <f>G$7*G$8*'Исходные данные'!$E$10*'Исходные данные'!$I$10</f>
        <v>200000</v>
      </c>
      <c r="H17" s="43">
        <f>H$7*H$8*'Исходные данные'!$E$10*'Исходные данные'!$K$10</f>
        <v>280000</v>
      </c>
      <c r="I17" s="43">
        <f>I$7*I$8*'Исходные данные'!$E$10*'Исходные данные'!$G$10</f>
        <v>160000</v>
      </c>
      <c r="J17" s="43">
        <f>J$7*J$8*'Исходные данные'!$E$10*'Исходные данные'!$I$10</f>
        <v>200000</v>
      </c>
      <c r="K17" s="43">
        <f>K$7*K$8*'Исходные данные'!$E$10*'Исходные данные'!$K$10</f>
        <v>280000</v>
      </c>
      <c r="L17" s="43">
        <f>L$7*L$8*'Исходные данные'!$E$10*'Исходные данные'!$G$10</f>
        <v>160000</v>
      </c>
      <c r="M17" s="43">
        <f>M$7*M$8*'Исходные данные'!$E$10*'Исходные данные'!$I$10</f>
        <v>200000</v>
      </c>
      <c r="N17" s="43">
        <f>N$7*N$8*'Исходные данные'!$E$10*'Исходные данные'!$K$10</f>
        <v>280000</v>
      </c>
      <c r="O17" s="44">
        <f t="shared" ref="O17" si="5">SUM(C17:N17)</f>
        <v>2444000</v>
      </c>
      <c r="P17" s="44">
        <f t="shared" ref="P17" si="6">O17/12</f>
        <v>203666.66666666666</v>
      </c>
      <c r="Q17" s="43">
        <f>Q$7*Q$8*'Исходные данные'!$E$10*'Исходные данные'!$G$10</f>
        <v>192000</v>
      </c>
      <c r="R17" s="43">
        <f>R$7*R$8*'Исходные данные'!$E$10*'Исходные данные'!$I$10</f>
        <v>240000</v>
      </c>
      <c r="S17" s="43">
        <f>S$7*S$8*'Исходные данные'!$E$10*'Исходные данные'!$K$10</f>
        <v>336000</v>
      </c>
      <c r="T17" s="43">
        <f>T$7*T$8*'Исходные данные'!$E$10*'Исходные данные'!$G$10</f>
        <v>192000</v>
      </c>
      <c r="U17" s="43">
        <f>U$7*U$8*'Исходные данные'!$E$10*'Исходные данные'!$I$10</f>
        <v>240000</v>
      </c>
      <c r="V17" s="43">
        <f>V$7*V$8*'Исходные данные'!$E$10*'Исходные данные'!$K$10</f>
        <v>336000</v>
      </c>
      <c r="W17" s="43">
        <f>W$7*W$8*'Исходные данные'!$E$10*'Исходные данные'!$G$10</f>
        <v>192000</v>
      </c>
      <c r="X17" s="43">
        <f>X$7*X$8*'Исходные данные'!$E$10*'Исходные данные'!$I$10</f>
        <v>240000</v>
      </c>
      <c r="Y17" s="43">
        <f>Y$7*Y$8*'Исходные данные'!$E$10*'Исходные данные'!$K$10</f>
        <v>336000</v>
      </c>
      <c r="Z17" s="43">
        <f>Z$7*Z$8*'Исходные данные'!$E$10*'Исходные данные'!$G$10</f>
        <v>192000</v>
      </c>
      <c r="AA17" s="43">
        <f>AA$7*AA$8*'Исходные данные'!$E$10*'Исходные данные'!$I$10</f>
        <v>240000</v>
      </c>
      <c r="AB17" s="43">
        <f>AB$7*AB$8*'Исходные данные'!$E$10*'Исходные данные'!$K$10</f>
        <v>336000</v>
      </c>
      <c r="AC17" s="44">
        <f t="shared" ref="AC17" si="7">SUM(Q17:AB17)</f>
        <v>3072000</v>
      </c>
      <c r="AD17" s="44">
        <f t="shared" ref="AD17" si="8">AC17/12</f>
        <v>256000</v>
      </c>
      <c r="AE17" s="43">
        <f>AE$7*AE$8*'Исходные данные'!$E$10*'Исходные данные'!$G$10</f>
        <v>224000</v>
      </c>
      <c r="AF17" s="43">
        <f>AF$7*AF$8*'Исходные данные'!$E$10*'Исходные данные'!$I$10</f>
        <v>280000</v>
      </c>
      <c r="AG17" s="43">
        <f>AG$7*AG$8*'Исходные данные'!$E$10*'Исходные данные'!$K$10</f>
        <v>392000</v>
      </c>
      <c r="AH17" s="43">
        <f>AH$7*AH$8*'Исходные данные'!$E$10*'Исходные данные'!$G$10</f>
        <v>224000</v>
      </c>
      <c r="AI17" s="43">
        <f>AI$7*AI$8*'Исходные данные'!$E$10*'Исходные данные'!$I$10</f>
        <v>280000</v>
      </c>
      <c r="AJ17" s="43">
        <f>AJ$7*AJ$8*'Исходные данные'!$E$10*'Исходные данные'!$K$10</f>
        <v>392000</v>
      </c>
      <c r="AK17" s="43">
        <f>AK$7*AK$8*'Исходные данные'!$E$10*'Исходные данные'!$G$10</f>
        <v>224000</v>
      </c>
      <c r="AL17" s="43">
        <f>AL$7*AL$8*'Исходные данные'!$E$10*'Исходные данные'!$I$10</f>
        <v>280000</v>
      </c>
      <c r="AM17" s="43">
        <f>AM$7*AM$8*'Исходные данные'!$E$10*'Исходные данные'!$K$10</f>
        <v>392000</v>
      </c>
      <c r="AN17" s="43">
        <f>AN$7*AN$8*'Исходные данные'!$E$10*'Исходные данные'!$G$10</f>
        <v>224000</v>
      </c>
      <c r="AO17" s="43">
        <f>AO$7*AO$8*'Исходные данные'!$E$10*'Исходные данные'!$I$10</f>
        <v>280000</v>
      </c>
      <c r="AP17" s="43">
        <f>AP$7*AP$8*'Исходные данные'!$E$10*'Исходные данные'!$K$10</f>
        <v>392000</v>
      </c>
      <c r="AQ17" s="44">
        <f t="shared" ref="AQ17" si="9">SUM(AE17:AP17)</f>
        <v>3584000</v>
      </c>
      <c r="AR17" s="44">
        <f t="shared" ref="AR17" si="10">AQ17/12</f>
        <v>298666.66666666669</v>
      </c>
      <c r="AS17" s="45">
        <f t="shared" ref="AS17" si="11">O17+AC17+AQ17</f>
        <v>9100000</v>
      </c>
      <c r="AT17" s="46"/>
      <c r="AX17" s="18"/>
      <c r="AY17" s="18"/>
      <c r="AZ17" s="18"/>
      <c r="BA17" s="18"/>
      <c r="BB17" s="18"/>
    </row>
    <row r="18" spans="1:54" s="52" customFormat="1" ht="11.25">
      <c r="A18" s="64" t="str">
        <f>'Обобщенный расчет'!A9</f>
        <v>Столешницы сан. узел</v>
      </c>
      <c r="B18" s="48" t="str">
        <f>CHOOSE('Исходные данные'!$S$2,'Исходные данные'!$T$2,'Исходные данные'!$T$3,'Исходные данные'!$T$4,'Исходные данные'!$T$5)</f>
        <v>RUB</v>
      </c>
      <c r="C18" s="49">
        <f>C$7*C$8*'Исходные данные'!$E$11*'Исходные данные'!$G$11</f>
        <v>47600</v>
      </c>
      <c r="D18" s="49">
        <f>D$7*D$8*'Исходные данные'!$E$11*'Исходные данные'!$I$11</f>
        <v>68000</v>
      </c>
      <c r="E18" s="49">
        <f>E$7*E$8*'Исходные данные'!$E$11*'Исходные данные'!$K$11</f>
        <v>91800</v>
      </c>
      <c r="F18" s="49">
        <f>F$7*F$8*'Исходные данные'!$E$11*'Исходные данные'!$G$11</f>
        <v>68000</v>
      </c>
      <c r="G18" s="49">
        <f>G$7*G$8*'Исходные данные'!$E$11*'Исходные данные'!$I$11</f>
        <v>85000</v>
      </c>
      <c r="H18" s="49">
        <f>H$7*H$8*'Исходные данные'!$E$11*'Исходные данные'!$K$11</f>
        <v>102000</v>
      </c>
      <c r="I18" s="49">
        <f>I$7*I$8*'Исходные данные'!$E$11*'Исходные данные'!$G$11</f>
        <v>68000</v>
      </c>
      <c r="J18" s="49">
        <f>J$7*J$8*'Исходные данные'!$E$11*'Исходные данные'!$I$11</f>
        <v>85000</v>
      </c>
      <c r="K18" s="49">
        <f>K$7*K$8*'Исходные данные'!$E$11*'Исходные данные'!$K$11</f>
        <v>102000</v>
      </c>
      <c r="L18" s="49">
        <f>L$7*L$8*'Исходные данные'!$E$11*'Исходные данные'!$G$11</f>
        <v>68000</v>
      </c>
      <c r="M18" s="49">
        <f>M$7*M$8*'Исходные данные'!$E$11*'Исходные данные'!$I$11</f>
        <v>85000</v>
      </c>
      <c r="N18" s="49">
        <f>N$7*N$8*'Исходные данные'!$E$11*'Исходные данные'!$K$11</f>
        <v>102000</v>
      </c>
      <c r="O18" s="50">
        <f t="shared" ref="O18:O20" si="12">SUM(C18:N18)</f>
        <v>972400</v>
      </c>
      <c r="P18" s="50">
        <f t="shared" ref="P18:P20" si="13">O18/12</f>
        <v>81033.333333333328</v>
      </c>
      <c r="Q18" s="49">
        <f>Q$7*Q$8*'Исходные данные'!$E$11*'Исходные данные'!$G$11</f>
        <v>81600</v>
      </c>
      <c r="R18" s="49">
        <f>R$7*R$8*'Исходные данные'!$E$11*'Исходные данные'!$I$11</f>
        <v>102000</v>
      </c>
      <c r="S18" s="49">
        <f>S$7*S$8*'Исходные данные'!$E$11*'Исходные данные'!$K$11</f>
        <v>122400</v>
      </c>
      <c r="T18" s="49">
        <f>T$7*T$8*'Исходные данные'!$E$11*'Исходные данные'!$G$11</f>
        <v>81600</v>
      </c>
      <c r="U18" s="49">
        <f>U$7*U$8*'Исходные данные'!$E$11*'Исходные данные'!$I$11</f>
        <v>102000</v>
      </c>
      <c r="V18" s="49">
        <f>V$7*V$8*'Исходные данные'!$E$11*'Исходные данные'!$K$11</f>
        <v>122400</v>
      </c>
      <c r="W18" s="49">
        <f>W$7*W$8*'Исходные данные'!$E$11*'Исходные данные'!$G$11</f>
        <v>81600</v>
      </c>
      <c r="X18" s="49">
        <f>X$7*X$8*'Исходные данные'!$E$11*'Исходные данные'!$I$11</f>
        <v>102000</v>
      </c>
      <c r="Y18" s="49">
        <f>Y$7*Y$8*'Исходные данные'!$E$11*'Исходные данные'!$K$11</f>
        <v>122400</v>
      </c>
      <c r="Z18" s="49">
        <f>Z$7*Z$8*'Исходные данные'!$E$11*'Исходные данные'!$G$11</f>
        <v>81600</v>
      </c>
      <c r="AA18" s="49">
        <f>AA$7*AA$8*'Исходные данные'!$E$11*'Исходные данные'!$I$11</f>
        <v>102000</v>
      </c>
      <c r="AB18" s="49">
        <f>AB$7*AB$8*'Исходные данные'!$E$11*'Исходные данные'!$K$11</f>
        <v>122400</v>
      </c>
      <c r="AC18" s="50">
        <f t="shared" ref="AC18:AC20" si="14">SUM(Q18:AB18)</f>
        <v>1224000</v>
      </c>
      <c r="AD18" s="50">
        <f t="shared" ref="AD18:AD20" si="15">AC18/12</f>
        <v>102000</v>
      </c>
      <c r="AE18" s="49">
        <f>AE$7*AE$8*'Исходные данные'!$E$11*'Исходные данные'!$G$11</f>
        <v>95200</v>
      </c>
      <c r="AF18" s="49">
        <f>AF$7*AF$8*'Исходные данные'!$E$11*'Исходные данные'!$I$11</f>
        <v>119000</v>
      </c>
      <c r="AG18" s="49">
        <f>AG$7*AG$8*'Исходные данные'!$E$11*'Исходные данные'!$K$11</f>
        <v>142800</v>
      </c>
      <c r="AH18" s="49">
        <f>AH$7*AH$8*'Исходные данные'!$E$11*'Исходные данные'!$G$11</f>
        <v>95200</v>
      </c>
      <c r="AI18" s="49">
        <f>AI$7*AI$8*'Исходные данные'!$E$11*'Исходные данные'!$I$11</f>
        <v>119000</v>
      </c>
      <c r="AJ18" s="49">
        <f>AJ$7*AJ$8*'Исходные данные'!$E$11*'Исходные данные'!$K$11</f>
        <v>142800</v>
      </c>
      <c r="AK18" s="49">
        <f>AK$7*AK$8*'Исходные данные'!$E$11*'Исходные данные'!$G$11</f>
        <v>95200</v>
      </c>
      <c r="AL18" s="49">
        <f>AL$7*AL$8*'Исходные данные'!$E$11*'Исходные данные'!$I$11</f>
        <v>119000</v>
      </c>
      <c r="AM18" s="49">
        <f>AM$7*AM$8*'Исходные данные'!$E$11*'Исходные данные'!$K$11</f>
        <v>142800</v>
      </c>
      <c r="AN18" s="49">
        <f>AN$7*AN$8*'Исходные данные'!$E$11*'Исходные данные'!$G$11</f>
        <v>95200</v>
      </c>
      <c r="AO18" s="49">
        <f>AO$7*AO$8*'Исходные данные'!$E$11*'Исходные данные'!$I$11</f>
        <v>119000</v>
      </c>
      <c r="AP18" s="49">
        <f>AP$7*AP$8*'Исходные данные'!$E$11*'Исходные данные'!$K$11</f>
        <v>142800</v>
      </c>
      <c r="AQ18" s="50">
        <f t="shared" ref="AQ18:AQ20" si="16">SUM(AE18:AP18)</f>
        <v>1428000</v>
      </c>
      <c r="AR18" s="50">
        <f t="shared" ref="AR18:AR20" si="17">AQ18/12</f>
        <v>119000</v>
      </c>
      <c r="AS18" s="45">
        <f t="shared" ref="AS18:AS20" si="18">O18+AC18+AQ18</f>
        <v>3624400</v>
      </c>
      <c r="AT18" s="51"/>
      <c r="AX18" s="18"/>
      <c r="AY18" s="18"/>
      <c r="AZ18" s="18"/>
      <c r="BA18" s="18"/>
      <c r="BB18" s="18"/>
    </row>
    <row r="19" spans="1:54" s="47" customFormat="1" ht="11.25">
      <c r="A19" s="63" t="str">
        <f>'Обобщенный расчет'!A10</f>
        <v>Барные стойки</v>
      </c>
      <c r="B19" s="42" t="str">
        <f>CHOOSE('Исходные данные'!$S$2,'Исходные данные'!$T$2,'Исходные данные'!$T$3,'Исходные данные'!$T$4,'Исходные данные'!$T$5)</f>
        <v>RUB</v>
      </c>
      <c r="C19" s="43">
        <f>C$7*C$8*'Исходные данные'!$E$12*'Исходные данные'!$G$12</f>
        <v>10500</v>
      </c>
      <c r="D19" s="43">
        <f>D$7*D$8*'Исходные данные'!$E$12*'Исходные данные'!$I$12</f>
        <v>12000</v>
      </c>
      <c r="E19" s="43">
        <f>E$7*E$8*'Исходные данные'!$E$12*'Исходные данные'!$K$12</f>
        <v>27000</v>
      </c>
      <c r="F19" s="43">
        <f>F$7*F$8*'Исходные данные'!$E$12*'Исходные данные'!$G$12</f>
        <v>15000</v>
      </c>
      <c r="G19" s="43">
        <f>G$7*G$8*'Исходные данные'!$E$12*'Исходные данные'!$I$12</f>
        <v>15000</v>
      </c>
      <c r="H19" s="43">
        <f>H$7*H$8*'Исходные данные'!$E$12*'Исходные данные'!$K$12</f>
        <v>30000</v>
      </c>
      <c r="I19" s="43">
        <f>I$7*I$8*'Исходные данные'!$E$12*'Исходные данные'!$G$12</f>
        <v>15000</v>
      </c>
      <c r="J19" s="43">
        <f>J$7*J$8*'Исходные данные'!$E$12*'Исходные данные'!$I$12</f>
        <v>15000</v>
      </c>
      <c r="K19" s="43">
        <f>K$7*K$8*'Исходные данные'!$E$12*'Исходные данные'!$K$12</f>
        <v>30000</v>
      </c>
      <c r="L19" s="43">
        <f>L$7*L$8*'Исходные данные'!$E$12*'Исходные данные'!$G$12</f>
        <v>15000</v>
      </c>
      <c r="M19" s="43">
        <f>M$7*M$8*'Исходные данные'!$E$12*'Исходные данные'!$I$12</f>
        <v>15000</v>
      </c>
      <c r="N19" s="43">
        <f>N$7*N$8*'Исходные данные'!$E$12*'Исходные данные'!$K$12</f>
        <v>30000</v>
      </c>
      <c r="O19" s="44">
        <f t="shared" si="12"/>
        <v>229500</v>
      </c>
      <c r="P19" s="44">
        <f t="shared" si="13"/>
        <v>19125</v>
      </c>
      <c r="Q19" s="43">
        <f>Q$7*Q$8*'Исходные данные'!$E$12*'Исходные данные'!$G$12</f>
        <v>18000</v>
      </c>
      <c r="R19" s="43">
        <f>R$7*R$8*'Исходные данные'!$E$12*'Исходные данные'!$I$12</f>
        <v>18000</v>
      </c>
      <c r="S19" s="43">
        <f>S$7*S$8*'Исходные данные'!$E$12*'Исходные данные'!$K$12</f>
        <v>36000</v>
      </c>
      <c r="T19" s="43">
        <f>T$7*T$8*'Исходные данные'!$E$12*'Исходные данные'!$G$12</f>
        <v>18000</v>
      </c>
      <c r="U19" s="43">
        <f>U$7*U$8*'Исходные данные'!$E$12*'Исходные данные'!$I$12</f>
        <v>18000</v>
      </c>
      <c r="V19" s="43">
        <f>V$7*V$8*'Исходные данные'!$E$12*'Исходные данные'!$K$12</f>
        <v>36000</v>
      </c>
      <c r="W19" s="43">
        <f>W$7*W$8*'Исходные данные'!$E$12*'Исходные данные'!$G$12</f>
        <v>18000</v>
      </c>
      <c r="X19" s="43">
        <f>X$7*X$8*'Исходные данные'!$E$12*'Исходные данные'!$I$12</f>
        <v>18000</v>
      </c>
      <c r="Y19" s="43">
        <f>Y$7*Y$8*'Исходные данные'!$E$12*'Исходные данные'!$K$12</f>
        <v>36000</v>
      </c>
      <c r="Z19" s="43">
        <f>Z$7*Z$8*'Исходные данные'!$E$12*'Исходные данные'!$G$12</f>
        <v>18000</v>
      </c>
      <c r="AA19" s="43">
        <f>AA$7*AA$8*'Исходные данные'!$E$12*'Исходные данные'!$I$12</f>
        <v>18000</v>
      </c>
      <c r="AB19" s="43">
        <f>AB$7*AB$8*'Исходные данные'!$E$12*'Исходные данные'!$K$12</f>
        <v>36000</v>
      </c>
      <c r="AC19" s="44">
        <f t="shared" si="14"/>
        <v>288000</v>
      </c>
      <c r="AD19" s="44">
        <f t="shared" si="15"/>
        <v>24000</v>
      </c>
      <c r="AE19" s="43">
        <f>AE$7*AE$8*'Исходные данные'!$E$12*'Исходные данные'!$G$12</f>
        <v>21000</v>
      </c>
      <c r="AF19" s="43">
        <f>AF$7*AF$8*'Исходные данные'!$E$12*'Исходные данные'!$I$12</f>
        <v>21000</v>
      </c>
      <c r="AG19" s="43">
        <f>AG$7*AG$8*'Исходные данные'!$E$12*'Исходные данные'!$K$12</f>
        <v>42000</v>
      </c>
      <c r="AH19" s="43">
        <f>AH$7*AH$8*'Исходные данные'!$E$12*'Исходные данные'!$G$12</f>
        <v>21000</v>
      </c>
      <c r="AI19" s="43">
        <f>AI$7*AI$8*'Исходные данные'!$E$12*'Исходные данные'!$I$12</f>
        <v>21000</v>
      </c>
      <c r="AJ19" s="43">
        <f>AJ$7*AJ$8*'Исходные данные'!$E$12*'Исходные данные'!$K$12</f>
        <v>42000</v>
      </c>
      <c r="AK19" s="43">
        <f>AK$7*AK$8*'Исходные данные'!$E$12*'Исходные данные'!$G$12</f>
        <v>21000</v>
      </c>
      <c r="AL19" s="43">
        <f>AL$7*AL$8*'Исходные данные'!$E$12*'Исходные данные'!$I$12</f>
        <v>21000</v>
      </c>
      <c r="AM19" s="43">
        <f>AM$7*AM$8*'Исходные данные'!$E$12*'Исходные данные'!$K$12</f>
        <v>42000</v>
      </c>
      <c r="AN19" s="43">
        <f>AN$7*AN$8*'Исходные данные'!$E$12*'Исходные данные'!$G$12</f>
        <v>21000</v>
      </c>
      <c r="AO19" s="43">
        <f>AO$7*AO$8*'Исходные данные'!$E$12*'Исходные данные'!$I$12</f>
        <v>21000</v>
      </c>
      <c r="AP19" s="43">
        <f>AP$7*AP$8*'Исходные данные'!$E$12*'Исходные данные'!$K$12</f>
        <v>42000</v>
      </c>
      <c r="AQ19" s="44">
        <f t="shared" si="16"/>
        <v>336000</v>
      </c>
      <c r="AR19" s="44">
        <f t="shared" si="17"/>
        <v>28000</v>
      </c>
      <c r="AS19" s="45">
        <f t="shared" si="18"/>
        <v>853500</v>
      </c>
      <c r="AT19" s="46"/>
      <c r="AX19" s="18"/>
      <c r="AY19" s="18"/>
      <c r="AZ19" s="18"/>
      <c r="BA19" s="18"/>
      <c r="BB19" s="18"/>
    </row>
    <row r="20" spans="1:54" s="52" customFormat="1" ht="11.25">
      <c r="A20" s="64" t="str">
        <f>'Обобщенный расчет'!A11</f>
        <v>Ванны</v>
      </c>
      <c r="B20" s="48" t="str">
        <f>CHOOSE('Исходные данные'!$S$2,'Исходные данные'!$T$2,'Исходные данные'!$T$3,'Исходные данные'!$T$4,'Исходные данные'!$T$5)</f>
        <v>RUB</v>
      </c>
      <c r="C20" s="49">
        <f>C$7*C$8*'Исходные данные'!$E$13*'Исходные данные'!$G$13</f>
        <v>0</v>
      </c>
      <c r="D20" s="49">
        <f>D$7*D$8*'Исходные данные'!$E$13*'Исходные данные'!$I$13</f>
        <v>0</v>
      </c>
      <c r="E20" s="49">
        <f>E$7*E$8*'Исходные данные'!$E$13*'Исходные данные'!$K$13</f>
        <v>40500</v>
      </c>
      <c r="F20" s="49">
        <f>F$7*F$8*'Исходные данные'!$E$13*'Исходные данные'!$G$13</f>
        <v>0</v>
      </c>
      <c r="G20" s="49">
        <f>G$7*G$8*'Исходные данные'!$E$13*'Исходные данные'!$I$13</f>
        <v>0</v>
      </c>
      <c r="H20" s="49">
        <f>H$7*H$8*'Исходные данные'!$E$13*'Исходные данные'!$K$13</f>
        <v>45000</v>
      </c>
      <c r="I20" s="49">
        <f>I$7*I$8*'Исходные данные'!$E$13*'Исходные данные'!$G$13</f>
        <v>0</v>
      </c>
      <c r="J20" s="49">
        <f>J$7*J$8*'Исходные данные'!$E$13*'Исходные данные'!$I$13</f>
        <v>0</v>
      </c>
      <c r="K20" s="49">
        <f>K$7*K$8*'Исходные данные'!$E$13*'Исходные данные'!$K$13</f>
        <v>45000</v>
      </c>
      <c r="L20" s="49">
        <f>L$7*L$8*'Исходные данные'!$E$13*'Исходные данные'!$G$13</f>
        <v>0</v>
      </c>
      <c r="M20" s="49">
        <f>M$7*M$8*'Исходные данные'!$E$13*'Исходные данные'!$I$13</f>
        <v>0</v>
      </c>
      <c r="N20" s="49">
        <f>N$7*N$8*'Исходные данные'!$E$13*'Исходные данные'!$K$13</f>
        <v>45000</v>
      </c>
      <c r="O20" s="50">
        <f t="shared" si="12"/>
        <v>175500</v>
      </c>
      <c r="P20" s="50">
        <f t="shared" si="13"/>
        <v>14625</v>
      </c>
      <c r="Q20" s="49">
        <f>Q$7*Q$8*'Исходные данные'!$E$13*'Исходные данные'!$G$13</f>
        <v>0</v>
      </c>
      <c r="R20" s="49">
        <f>R$7*R$8*'Исходные данные'!$E$13*'Исходные данные'!$I$13</f>
        <v>0</v>
      </c>
      <c r="S20" s="49">
        <f>S$7*S$8*'Исходные данные'!$E$13*'Исходные данные'!$K$13</f>
        <v>54000</v>
      </c>
      <c r="T20" s="49">
        <f>T$7*T$8*'Исходные данные'!$E$13*'Исходные данные'!$G$13</f>
        <v>0</v>
      </c>
      <c r="U20" s="49">
        <f>U$7*U$8*'Исходные данные'!$E$13*'Исходные данные'!$I$13</f>
        <v>0</v>
      </c>
      <c r="V20" s="49">
        <f>V$7*V$8*'Исходные данные'!$E$13*'Исходные данные'!$K$13</f>
        <v>54000</v>
      </c>
      <c r="W20" s="49">
        <f>W$7*W$8*'Исходные данные'!$E$13*'Исходные данные'!$G$13</f>
        <v>0</v>
      </c>
      <c r="X20" s="49">
        <f>X$7*X$8*'Исходные данные'!$E$13*'Исходные данные'!$I$13</f>
        <v>0</v>
      </c>
      <c r="Y20" s="49">
        <f>Y$7*Y$8*'Исходные данные'!$E$13*'Исходные данные'!$K$13</f>
        <v>54000</v>
      </c>
      <c r="Z20" s="49">
        <f>Z$7*Z$8*'Исходные данные'!$E$13*'Исходные данные'!$G$13</f>
        <v>0</v>
      </c>
      <c r="AA20" s="49">
        <f>AA$7*AA$8*'Исходные данные'!$E$13*'Исходные данные'!$I$13</f>
        <v>0</v>
      </c>
      <c r="AB20" s="49">
        <f>AB$7*AB$8*'Исходные данные'!$E$13*'Исходные данные'!$K$13</f>
        <v>54000</v>
      </c>
      <c r="AC20" s="50">
        <f t="shared" si="14"/>
        <v>216000</v>
      </c>
      <c r="AD20" s="50">
        <f t="shared" si="15"/>
        <v>18000</v>
      </c>
      <c r="AE20" s="49">
        <f>AE$7*AE$8*'Исходные данные'!$E$13*'Исходные данные'!$G$13</f>
        <v>0</v>
      </c>
      <c r="AF20" s="49">
        <f>AF$7*AF$8*'Исходные данные'!$E$13*'Исходные данные'!$I$13</f>
        <v>0</v>
      </c>
      <c r="AG20" s="49">
        <f>AG$7*AG$8*'Исходные данные'!$E$13*'Исходные данные'!$K$13</f>
        <v>62999.999999999993</v>
      </c>
      <c r="AH20" s="49">
        <f>AH$7*AH$8*'Исходные данные'!$E$13*'Исходные данные'!$G$13</f>
        <v>0</v>
      </c>
      <c r="AI20" s="49">
        <f>AI$7*AI$8*'Исходные данные'!$E$13*'Исходные данные'!$I$13</f>
        <v>0</v>
      </c>
      <c r="AJ20" s="49">
        <f>AJ$7*AJ$8*'Исходные данные'!$E$13*'Исходные данные'!$K$13</f>
        <v>62999.999999999993</v>
      </c>
      <c r="AK20" s="49">
        <f>AK$7*AK$8*'Исходные данные'!$E$13*'Исходные данные'!$G$13</f>
        <v>0</v>
      </c>
      <c r="AL20" s="49">
        <f>AL$7*AL$8*'Исходные данные'!$E$13*'Исходные данные'!$I$13</f>
        <v>0</v>
      </c>
      <c r="AM20" s="49">
        <f>AM$7*AM$8*'Исходные данные'!$E$13*'Исходные данные'!$K$13</f>
        <v>62999.999999999993</v>
      </c>
      <c r="AN20" s="49">
        <f>AN$7*AN$8*'Исходные данные'!$E$13*'Исходные данные'!$G$13</f>
        <v>0</v>
      </c>
      <c r="AO20" s="49">
        <f>AO$7*AO$8*'Исходные данные'!$E$13*'Исходные данные'!$I$13</f>
        <v>0</v>
      </c>
      <c r="AP20" s="49">
        <f>AP$7*AP$8*'Исходные данные'!$E$13*'Исходные данные'!$K$13</f>
        <v>62999.999999999993</v>
      </c>
      <c r="AQ20" s="50">
        <f t="shared" si="16"/>
        <v>251999.99999999997</v>
      </c>
      <c r="AR20" s="50">
        <f t="shared" si="17"/>
        <v>20999.999999999996</v>
      </c>
      <c r="AS20" s="45">
        <f t="shared" si="18"/>
        <v>643500</v>
      </c>
      <c r="AT20" s="51"/>
      <c r="AX20" s="18"/>
      <c r="AY20" s="18"/>
      <c r="AZ20" s="18"/>
      <c r="BA20" s="18"/>
      <c r="BB20" s="18"/>
    </row>
    <row r="21" spans="1:54" s="47" customFormat="1" ht="11.25">
      <c r="A21" s="63" t="str">
        <f>'Обобщенный расчет'!A12</f>
        <v>Ступени для лестниц</v>
      </c>
      <c r="B21" s="42" t="str">
        <f>CHOOSE('Исходные данные'!$S$2,'Исходные данные'!$T$2,'Исходные данные'!$T$3,'Исходные данные'!$T$4,'Исходные данные'!$T$5)</f>
        <v>RUB</v>
      </c>
      <c r="C21" s="43">
        <f>C$7*C$8*'Исходные данные'!$E$14*'Исходные данные'!$G$14</f>
        <v>0</v>
      </c>
      <c r="D21" s="43">
        <f>D$7*D$8*'Исходные данные'!$E$14*'Исходные данные'!$I$14</f>
        <v>0</v>
      </c>
      <c r="E21" s="43">
        <f>E$7*E$8*'Исходные данные'!$E$14*'Исходные данные'!$K$14</f>
        <v>72000</v>
      </c>
      <c r="F21" s="43">
        <f>F$7*F$8*'Исходные данные'!$E$14*'Исходные данные'!$G$14</f>
        <v>0</v>
      </c>
      <c r="G21" s="43">
        <f>G$7*G$8*'Исходные данные'!$E$14*'Исходные данные'!$I$14</f>
        <v>0</v>
      </c>
      <c r="H21" s="43">
        <f>H$7*H$8*'Исходные данные'!$E$14*'Исходные данные'!$K$14</f>
        <v>80000</v>
      </c>
      <c r="I21" s="43">
        <f>I$7*I$8*'Исходные данные'!$E$14*'Исходные данные'!$G$14</f>
        <v>0</v>
      </c>
      <c r="J21" s="43">
        <f>J$7*J$8*'Исходные данные'!$E$14*'Исходные данные'!$I$14</f>
        <v>0</v>
      </c>
      <c r="K21" s="43">
        <f>K$7*K$8*'Исходные данные'!$E$14*'Исходные данные'!$K$14</f>
        <v>80000</v>
      </c>
      <c r="L21" s="43">
        <f>L$7*L$8*'Исходные данные'!$E$14*'Исходные данные'!$G$14</f>
        <v>0</v>
      </c>
      <c r="M21" s="43">
        <f>M$7*M$8*'Исходные данные'!$E$14*'Исходные данные'!$I$14</f>
        <v>0</v>
      </c>
      <c r="N21" s="43">
        <f>N$7*N$8*'Исходные данные'!$E$14*'Исходные данные'!$K$14</f>
        <v>80000</v>
      </c>
      <c r="O21" s="44">
        <f t="shared" ref="O21:O22" si="19">SUM(C21:N21)</f>
        <v>312000</v>
      </c>
      <c r="P21" s="44">
        <f t="shared" ref="P21:P22" si="20">O21/12</f>
        <v>26000</v>
      </c>
      <c r="Q21" s="43">
        <f>Q$7*Q$8*'Исходные данные'!$E$14*'Исходные данные'!$G$14</f>
        <v>0</v>
      </c>
      <c r="R21" s="43">
        <f>R$7*R$8*'Исходные данные'!$E$14*'Исходные данные'!$I$14</f>
        <v>0</v>
      </c>
      <c r="S21" s="43">
        <f>S$7*S$8*'Исходные данные'!$E$14*'Исходные данные'!$K$14</f>
        <v>96000</v>
      </c>
      <c r="T21" s="43">
        <f>T$7*T$8*'Исходные данные'!$E$14*'Исходные данные'!$G$14</f>
        <v>0</v>
      </c>
      <c r="U21" s="43">
        <f>U$7*U$8*'Исходные данные'!$E$14*'Исходные данные'!$I$14</f>
        <v>0</v>
      </c>
      <c r="V21" s="43">
        <f>V$7*V$8*'Исходные данные'!$E$14*'Исходные данные'!$K$14</f>
        <v>96000</v>
      </c>
      <c r="W21" s="43">
        <f>W$7*W$8*'Исходные данные'!$E$14*'Исходные данные'!$G$14</f>
        <v>0</v>
      </c>
      <c r="X21" s="43">
        <f>X$7*X$8*'Исходные данные'!$E$14*'Исходные данные'!$I$14</f>
        <v>0</v>
      </c>
      <c r="Y21" s="43">
        <f>Y$7*Y$8*'Исходные данные'!$E$14*'Исходные данные'!$K$14</f>
        <v>96000</v>
      </c>
      <c r="Z21" s="43">
        <f>Z$7*Z$8*'Исходные данные'!$E$14*'Исходные данные'!$G$14</f>
        <v>0</v>
      </c>
      <c r="AA21" s="43">
        <f>AA$7*AA$8*'Исходные данные'!$E$14*'Исходные данные'!$I$14</f>
        <v>0</v>
      </c>
      <c r="AB21" s="43">
        <f>AB$7*AB$8*'Исходные данные'!$E$14*'Исходные данные'!$K$14</f>
        <v>96000</v>
      </c>
      <c r="AC21" s="44">
        <f t="shared" ref="AC21:AC22" si="21">SUM(Q21:AB21)</f>
        <v>384000</v>
      </c>
      <c r="AD21" s="44">
        <f t="shared" ref="AD21:AD22" si="22">AC21/12</f>
        <v>32000</v>
      </c>
      <c r="AE21" s="43">
        <f>AE$7*AE$8*'Исходные данные'!$E$14*'Исходные данные'!$G$14</f>
        <v>0</v>
      </c>
      <c r="AF21" s="43">
        <f>AF$7*AF$8*'Исходные данные'!$E$14*'Исходные данные'!$I$14</f>
        <v>0</v>
      </c>
      <c r="AG21" s="43">
        <f>AG$7*AG$8*'Исходные данные'!$E$14*'Исходные данные'!$K$14</f>
        <v>112000</v>
      </c>
      <c r="AH21" s="43">
        <f>AH$7*AH$8*'Исходные данные'!$E$14*'Исходные данные'!$G$14</f>
        <v>0</v>
      </c>
      <c r="AI21" s="43">
        <f>AI$7*AI$8*'Исходные данные'!$E$14*'Исходные данные'!$I$14</f>
        <v>0</v>
      </c>
      <c r="AJ21" s="43">
        <f>AJ$7*AJ$8*'Исходные данные'!$E$14*'Исходные данные'!$K$14</f>
        <v>112000</v>
      </c>
      <c r="AK21" s="43">
        <f>AK$7*AK$8*'Исходные данные'!$E$14*'Исходные данные'!$G$14</f>
        <v>0</v>
      </c>
      <c r="AL21" s="43">
        <f>AL$7*AL$8*'Исходные данные'!$E$14*'Исходные данные'!$I$14</f>
        <v>0</v>
      </c>
      <c r="AM21" s="43">
        <f>AM$7*AM$8*'Исходные данные'!$E$14*'Исходные данные'!$K$14</f>
        <v>112000</v>
      </c>
      <c r="AN21" s="43">
        <f>AN$7*AN$8*'Исходные данные'!$E$14*'Исходные данные'!$G$14</f>
        <v>0</v>
      </c>
      <c r="AO21" s="43">
        <f>AO$7*AO$8*'Исходные данные'!$E$14*'Исходные данные'!$I$14</f>
        <v>0</v>
      </c>
      <c r="AP21" s="43">
        <f>AP$7*AP$8*'Исходные данные'!$E$14*'Исходные данные'!$K$14</f>
        <v>112000</v>
      </c>
      <c r="AQ21" s="44">
        <f t="shared" ref="AQ21:AQ22" si="23">SUM(AE21:AP21)</f>
        <v>448000</v>
      </c>
      <c r="AR21" s="44">
        <f t="shared" ref="AR21:AR22" si="24">AQ21/12</f>
        <v>37333.333333333336</v>
      </c>
      <c r="AS21" s="45">
        <f t="shared" ref="AS21:AS22" si="25">O21+AC21+AQ21</f>
        <v>1144000</v>
      </c>
      <c r="AT21" s="46"/>
      <c r="AX21" s="18"/>
      <c r="AY21" s="18"/>
      <c r="AZ21" s="18"/>
      <c r="BA21" s="18"/>
      <c r="BB21" s="18"/>
    </row>
    <row r="22" spans="1:54" s="52" customFormat="1" ht="11.25">
      <c r="A22" s="64" t="str">
        <f>'Обобщенный расчет'!A13</f>
        <v>Подоконники</v>
      </c>
      <c r="B22" s="48" t="str">
        <f>CHOOSE('Исходные данные'!$S$2,'Исходные данные'!$T$2,'Исходные данные'!$T$3,'Исходные данные'!$T$4,'Исходные данные'!$T$5)</f>
        <v>RUB</v>
      </c>
      <c r="C22" s="49">
        <f>C$7*C$8*'Исходные данные'!$E$15*'Исходные данные'!$G$15</f>
        <v>16800</v>
      </c>
      <c r="D22" s="49">
        <f>D$7*D$8*'Исходные данные'!$E$15*'Исходные данные'!$I$15</f>
        <v>19200</v>
      </c>
      <c r="E22" s="49">
        <f>E$7*E$8*'Исходные данные'!$E$15*'Исходные данные'!$K$15</f>
        <v>21600</v>
      </c>
      <c r="F22" s="49">
        <f>F$7*F$8*'Исходные данные'!$E$15*'Исходные данные'!$G$15</f>
        <v>24000</v>
      </c>
      <c r="G22" s="49">
        <f>G$7*G$8*'Исходные данные'!$E$15*'Исходные данные'!$I$15</f>
        <v>24000</v>
      </c>
      <c r="H22" s="49">
        <f>H$7*H$8*'Исходные данные'!$E$15*'Исходные данные'!$K$15</f>
        <v>24000</v>
      </c>
      <c r="I22" s="49">
        <f>I$7*I$8*'Исходные данные'!$E$15*'Исходные данные'!$G$15</f>
        <v>24000</v>
      </c>
      <c r="J22" s="49">
        <f>J$7*J$8*'Исходные данные'!$E$15*'Исходные данные'!$I$15</f>
        <v>24000</v>
      </c>
      <c r="K22" s="49">
        <f>K$7*K$8*'Исходные данные'!$E$15*'Исходные данные'!$K$15</f>
        <v>24000</v>
      </c>
      <c r="L22" s="49">
        <f>L$7*L$8*'Исходные данные'!$E$15*'Исходные данные'!$G$15</f>
        <v>24000</v>
      </c>
      <c r="M22" s="49">
        <f>M$7*M$8*'Исходные данные'!$E$15*'Исходные данные'!$I$15</f>
        <v>24000</v>
      </c>
      <c r="N22" s="49">
        <f>N$7*N$8*'Исходные данные'!$E$15*'Исходные данные'!$K$15</f>
        <v>24000</v>
      </c>
      <c r="O22" s="50">
        <f t="shared" si="19"/>
        <v>273600</v>
      </c>
      <c r="P22" s="50">
        <f t="shared" si="20"/>
        <v>22800</v>
      </c>
      <c r="Q22" s="49">
        <f>Q$7*Q$8*'Исходные данные'!$E$15*'Исходные данные'!$G$15</f>
        <v>28800</v>
      </c>
      <c r="R22" s="49">
        <f>R$7*R$8*'Исходные данные'!$E$15*'Исходные данные'!$I$15</f>
        <v>28800</v>
      </c>
      <c r="S22" s="49">
        <f>S$7*S$8*'Исходные данные'!$E$15*'Исходные данные'!$K$15</f>
        <v>28800</v>
      </c>
      <c r="T22" s="49">
        <f>T$7*T$8*'Исходные данные'!$E$15*'Исходные данные'!$G$15</f>
        <v>28800</v>
      </c>
      <c r="U22" s="49">
        <f>U$7*U$8*'Исходные данные'!$E$15*'Исходные данные'!$I$15</f>
        <v>28800</v>
      </c>
      <c r="V22" s="49">
        <f>V$7*V$8*'Исходные данные'!$E$15*'Исходные данные'!$K$15</f>
        <v>28800</v>
      </c>
      <c r="W22" s="49">
        <f>W$7*W$8*'Исходные данные'!$E$15*'Исходные данные'!$G$15</f>
        <v>28800</v>
      </c>
      <c r="X22" s="49">
        <f>X$7*X$8*'Исходные данные'!$E$15*'Исходные данные'!$I$15</f>
        <v>28800</v>
      </c>
      <c r="Y22" s="49">
        <f>Y$7*Y$8*'Исходные данные'!$E$15*'Исходные данные'!$K$15</f>
        <v>28800</v>
      </c>
      <c r="Z22" s="49">
        <f>Z$7*Z$8*'Исходные данные'!$E$15*'Исходные данные'!$G$15</f>
        <v>28800</v>
      </c>
      <c r="AA22" s="49">
        <f>AA$7*AA$8*'Исходные данные'!$E$15*'Исходные данные'!$I$15</f>
        <v>28800</v>
      </c>
      <c r="AB22" s="49">
        <f>AB$7*AB$8*'Исходные данные'!$E$15*'Исходные данные'!$K$15</f>
        <v>28800</v>
      </c>
      <c r="AC22" s="50">
        <f t="shared" si="21"/>
        <v>345600</v>
      </c>
      <c r="AD22" s="50">
        <f t="shared" si="22"/>
        <v>28800</v>
      </c>
      <c r="AE22" s="49">
        <f>AE$7*AE$8*'Исходные данные'!$E$15*'Исходные данные'!$G$15</f>
        <v>33600</v>
      </c>
      <c r="AF22" s="49">
        <f>AF$7*AF$8*'Исходные данные'!$E$15*'Исходные данные'!$I$15</f>
        <v>33600</v>
      </c>
      <c r="AG22" s="49">
        <f>AG$7*AG$8*'Исходные данные'!$E$15*'Исходные данные'!$K$15</f>
        <v>33600</v>
      </c>
      <c r="AH22" s="49">
        <f>AH$7*AH$8*'Исходные данные'!$E$15*'Исходные данные'!$G$15</f>
        <v>33600</v>
      </c>
      <c r="AI22" s="49">
        <f>AI$7*AI$8*'Исходные данные'!$E$15*'Исходные данные'!$I$15</f>
        <v>33600</v>
      </c>
      <c r="AJ22" s="49">
        <f>AJ$7*AJ$8*'Исходные данные'!$E$15*'Исходные данные'!$K$15</f>
        <v>33600</v>
      </c>
      <c r="AK22" s="49">
        <f>AK$7*AK$8*'Исходные данные'!$E$15*'Исходные данные'!$G$15</f>
        <v>33600</v>
      </c>
      <c r="AL22" s="49">
        <f>AL$7*AL$8*'Исходные данные'!$E$15*'Исходные данные'!$I$15</f>
        <v>33600</v>
      </c>
      <c r="AM22" s="49">
        <f>AM$7*AM$8*'Исходные данные'!$E$15*'Исходные данные'!$K$15</f>
        <v>33600</v>
      </c>
      <c r="AN22" s="49">
        <f>AN$7*AN$8*'Исходные данные'!$E$15*'Исходные данные'!$G$15</f>
        <v>33600</v>
      </c>
      <c r="AO22" s="49">
        <f>AO$7*AO$8*'Исходные данные'!$E$15*'Исходные данные'!$I$15</f>
        <v>33600</v>
      </c>
      <c r="AP22" s="49">
        <f>AP$7*AP$8*'Исходные данные'!$E$15*'Исходные данные'!$K$15</f>
        <v>33600</v>
      </c>
      <c r="AQ22" s="50">
        <f t="shared" si="23"/>
        <v>403200</v>
      </c>
      <c r="AR22" s="50">
        <f t="shared" si="24"/>
        <v>33600</v>
      </c>
      <c r="AS22" s="45">
        <f t="shared" si="25"/>
        <v>1022400</v>
      </c>
      <c r="AT22" s="51"/>
      <c r="AX22" s="18"/>
      <c r="AY22" s="18"/>
      <c r="AZ22" s="18"/>
      <c r="BA22" s="18"/>
      <c r="BB22" s="18"/>
    </row>
    <row r="23" spans="1:54" s="57" customFormat="1" ht="11.25">
      <c r="A23" s="53" t="s">
        <v>3</v>
      </c>
      <c r="B23" s="54" t="str">
        <f>CHOOSE('Исходные данные'!$S$2,'Исходные данные'!$T$2,'Исходные данные'!$T$3,'Исходные данные'!$T$4,'Исходные данные'!$T$5)</f>
        <v>RUB</v>
      </c>
      <c r="C23" s="55">
        <f>SUM(C17:C22)</f>
        <v>186900</v>
      </c>
      <c r="D23" s="55">
        <f t="shared" ref="D23:AS23" si="26">SUM(D17:D22)</f>
        <v>259200</v>
      </c>
      <c r="E23" s="55">
        <f t="shared" si="26"/>
        <v>504900</v>
      </c>
      <c r="F23" s="55">
        <f t="shared" si="26"/>
        <v>267000</v>
      </c>
      <c r="G23" s="55">
        <f t="shared" si="26"/>
        <v>324000</v>
      </c>
      <c r="H23" s="55">
        <f t="shared" si="26"/>
        <v>561000</v>
      </c>
      <c r="I23" s="55">
        <f t="shared" si="26"/>
        <v>267000</v>
      </c>
      <c r="J23" s="55">
        <f t="shared" si="26"/>
        <v>324000</v>
      </c>
      <c r="K23" s="55">
        <f t="shared" si="26"/>
        <v>561000</v>
      </c>
      <c r="L23" s="55">
        <f t="shared" si="26"/>
        <v>267000</v>
      </c>
      <c r="M23" s="55">
        <f t="shared" si="26"/>
        <v>324000</v>
      </c>
      <c r="N23" s="55">
        <f t="shared" si="26"/>
        <v>561000</v>
      </c>
      <c r="O23" s="55">
        <f t="shared" si="26"/>
        <v>4407000</v>
      </c>
      <c r="P23" s="55">
        <f t="shared" si="26"/>
        <v>367250</v>
      </c>
      <c r="Q23" s="55">
        <f t="shared" si="26"/>
        <v>320400</v>
      </c>
      <c r="R23" s="55">
        <f t="shared" si="26"/>
        <v>388800</v>
      </c>
      <c r="S23" s="55">
        <f t="shared" si="26"/>
        <v>673200</v>
      </c>
      <c r="T23" s="55">
        <f t="shared" si="26"/>
        <v>320400</v>
      </c>
      <c r="U23" s="55">
        <f t="shared" si="26"/>
        <v>388800</v>
      </c>
      <c r="V23" s="55">
        <f t="shared" si="26"/>
        <v>673200</v>
      </c>
      <c r="W23" s="55">
        <f t="shared" si="26"/>
        <v>320400</v>
      </c>
      <c r="X23" s="55">
        <f t="shared" si="26"/>
        <v>388800</v>
      </c>
      <c r="Y23" s="55">
        <f t="shared" si="26"/>
        <v>673200</v>
      </c>
      <c r="Z23" s="55">
        <f t="shared" si="26"/>
        <v>320400</v>
      </c>
      <c r="AA23" s="55">
        <f t="shared" si="26"/>
        <v>388800</v>
      </c>
      <c r="AB23" s="55">
        <f t="shared" si="26"/>
        <v>673200</v>
      </c>
      <c r="AC23" s="55">
        <f t="shared" si="26"/>
        <v>5529600</v>
      </c>
      <c r="AD23" s="55">
        <f t="shared" si="26"/>
        <v>460800</v>
      </c>
      <c r="AE23" s="55">
        <f t="shared" si="26"/>
        <v>373800</v>
      </c>
      <c r="AF23" s="55">
        <f t="shared" si="26"/>
        <v>453600</v>
      </c>
      <c r="AG23" s="55">
        <f t="shared" si="26"/>
        <v>785400</v>
      </c>
      <c r="AH23" s="55">
        <f t="shared" si="26"/>
        <v>373800</v>
      </c>
      <c r="AI23" s="55">
        <f t="shared" si="26"/>
        <v>453600</v>
      </c>
      <c r="AJ23" s="55">
        <f t="shared" si="26"/>
        <v>785400</v>
      </c>
      <c r="AK23" s="55">
        <f t="shared" si="26"/>
        <v>373800</v>
      </c>
      <c r="AL23" s="55">
        <f t="shared" si="26"/>
        <v>453600</v>
      </c>
      <c r="AM23" s="55">
        <f t="shared" si="26"/>
        <v>785400</v>
      </c>
      <c r="AN23" s="55">
        <f t="shared" si="26"/>
        <v>373800</v>
      </c>
      <c r="AO23" s="55">
        <f t="shared" si="26"/>
        <v>453600</v>
      </c>
      <c r="AP23" s="55">
        <f t="shared" si="26"/>
        <v>785400</v>
      </c>
      <c r="AQ23" s="55">
        <f t="shared" si="26"/>
        <v>6451200</v>
      </c>
      <c r="AR23" s="55">
        <f t="shared" si="26"/>
        <v>537600</v>
      </c>
      <c r="AS23" s="55">
        <f t="shared" si="26"/>
        <v>16387800</v>
      </c>
      <c r="AT23" s="56"/>
      <c r="AX23" s="18"/>
      <c r="AY23" s="18"/>
      <c r="AZ23" s="18"/>
      <c r="BA23" s="18"/>
      <c r="BB23" s="18"/>
    </row>
    <row r="24" spans="1:54" s="41" customFormat="1" ht="12" thickBot="1">
      <c r="A24" s="58"/>
      <c r="B24" s="59"/>
      <c r="C24" s="60"/>
      <c r="D24" s="58"/>
      <c r="E24" s="58"/>
      <c r="F24" s="58"/>
      <c r="G24" s="58"/>
      <c r="H24" s="58"/>
      <c r="I24" s="58"/>
      <c r="J24" s="58"/>
      <c r="O24" s="61"/>
      <c r="P24" s="61"/>
      <c r="Q24" s="60"/>
      <c r="R24" s="58"/>
      <c r="S24" s="58"/>
      <c r="T24" s="58"/>
      <c r="U24" s="58"/>
      <c r="V24" s="58"/>
      <c r="W24" s="58"/>
      <c r="X24" s="58"/>
      <c r="AC24" s="61"/>
      <c r="AD24" s="61"/>
      <c r="AE24" s="60"/>
      <c r="AF24" s="58"/>
      <c r="AG24" s="58"/>
      <c r="AH24" s="58"/>
      <c r="AI24" s="58"/>
      <c r="AJ24" s="58"/>
      <c r="AK24" s="58"/>
      <c r="AL24" s="58"/>
      <c r="AQ24" s="61"/>
      <c r="AR24" s="61"/>
      <c r="AX24" s="18"/>
      <c r="AY24" s="18"/>
      <c r="AZ24" s="18"/>
      <c r="BA24" s="18"/>
      <c r="BB24" s="18"/>
    </row>
    <row r="25" spans="1:54" s="41" customFormat="1" ht="24" thickTop="1" thickBot="1">
      <c r="A25" s="37" t="s">
        <v>159</v>
      </c>
      <c r="B25" s="38"/>
      <c r="C25" s="39" t="str">
        <f t="shared" ref="C25:N25" si="27">C$6</f>
        <v>январь</v>
      </c>
      <c r="D25" s="39" t="str">
        <f t="shared" si="27"/>
        <v>февраль</v>
      </c>
      <c r="E25" s="39" t="str">
        <f t="shared" si="27"/>
        <v>март</v>
      </c>
      <c r="F25" s="39" t="str">
        <f t="shared" si="27"/>
        <v>апрель</v>
      </c>
      <c r="G25" s="39" t="str">
        <f t="shared" si="27"/>
        <v>май</v>
      </c>
      <c r="H25" s="39" t="str">
        <f t="shared" si="27"/>
        <v>июнь</v>
      </c>
      <c r="I25" s="39" t="str">
        <f t="shared" si="27"/>
        <v>июль</v>
      </c>
      <c r="J25" s="39" t="str">
        <f t="shared" si="27"/>
        <v>август</v>
      </c>
      <c r="K25" s="39" t="str">
        <f t="shared" si="27"/>
        <v>сентябрь</v>
      </c>
      <c r="L25" s="39" t="str">
        <f t="shared" si="27"/>
        <v>октябрь</v>
      </c>
      <c r="M25" s="39" t="str">
        <f t="shared" si="27"/>
        <v>ноябрь</v>
      </c>
      <c r="N25" s="39" t="str">
        <f t="shared" si="27"/>
        <v>декабрь</v>
      </c>
      <c r="O25" s="209" t="s">
        <v>35</v>
      </c>
      <c r="P25" s="209" t="s">
        <v>36</v>
      </c>
      <c r="Q25" s="39" t="str">
        <f t="shared" ref="Q25:AB25" si="28">Q$6</f>
        <v>январь</v>
      </c>
      <c r="R25" s="39" t="str">
        <f t="shared" si="28"/>
        <v>февраль</v>
      </c>
      <c r="S25" s="39" t="str">
        <f t="shared" si="28"/>
        <v>март</v>
      </c>
      <c r="T25" s="39" t="str">
        <f t="shared" si="28"/>
        <v>апрель</v>
      </c>
      <c r="U25" s="39" t="str">
        <f t="shared" si="28"/>
        <v>май</v>
      </c>
      <c r="V25" s="39" t="str">
        <f t="shared" si="28"/>
        <v>июнь</v>
      </c>
      <c r="W25" s="39" t="str">
        <f t="shared" si="28"/>
        <v>июль</v>
      </c>
      <c r="X25" s="39" t="str">
        <f t="shared" si="28"/>
        <v>август</v>
      </c>
      <c r="Y25" s="39" t="str">
        <f t="shared" si="28"/>
        <v>сентябрь</v>
      </c>
      <c r="Z25" s="39" t="str">
        <f t="shared" si="28"/>
        <v>октябрь</v>
      </c>
      <c r="AA25" s="39" t="str">
        <f t="shared" si="28"/>
        <v>ноябрь</v>
      </c>
      <c r="AB25" s="39" t="str">
        <f t="shared" si="28"/>
        <v>декабрь</v>
      </c>
      <c r="AC25" s="209" t="s">
        <v>38</v>
      </c>
      <c r="AD25" s="209" t="s">
        <v>37</v>
      </c>
      <c r="AE25" s="39" t="str">
        <f t="shared" ref="AE25:AP25" si="29">AE$6</f>
        <v>январь</v>
      </c>
      <c r="AF25" s="39" t="str">
        <f t="shared" si="29"/>
        <v>февраль</v>
      </c>
      <c r="AG25" s="39" t="str">
        <f t="shared" si="29"/>
        <v>март</v>
      </c>
      <c r="AH25" s="39" t="str">
        <f t="shared" si="29"/>
        <v>апрель</v>
      </c>
      <c r="AI25" s="39" t="str">
        <f t="shared" si="29"/>
        <v>май</v>
      </c>
      <c r="AJ25" s="39" t="str">
        <f t="shared" si="29"/>
        <v>июнь</v>
      </c>
      <c r="AK25" s="39" t="str">
        <f t="shared" si="29"/>
        <v>июль</v>
      </c>
      <c r="AL25" s="39" t="str">
        <f t="shared" si="29"/>
        <v>август</v>
      </c>
      <c r="AM25" s="39" t="str">
        <f t="shared" si="29"/>
        <v>сентябрь</v>
      </c>
      <c r="AN25" s="39" t="str">
        <f t="shared" si="29"/>
        <v>октябрь</v>
      </c>
      <c r="AO25" s="39" t="str">
        <f t="shared" si="29"/>
        <v>ноябрь</v>
      </c>
      <c r="AP25" s="39" t="str">
        <f t="shared" si="29"/>
        <v>декабрь</v>
      </c>
      <c r="AQ25" s="209" t="s">
        <v>39</v>
      </c>
      <c r="AR25" s="209" t="s">
        <v>40</v>
      </c>
      <c r="AX25" s="18"/>
      <c r="AY25" s="18"/>
      <c r="AZ25" s="18"/>
      <c r="BA25" s="18"/>
      <c r="BB25" s="18"/>
    </row>
    <row r="26" spans="1:54" s="47" customFormat="1" ht="12" thickTop="1">
      <c r="A26" s="63" t="str">
        <f>A17</f>
        <v>Столешницы кухонные</v>
      </c>
      <c r="B26" s="42" t="str">
        <f>CHOOSE('Исходные данные'!$S$2,'Исходные данные'!$T$2,'Исходные данные'!$T$3,'Исходные данные'!$T$4,'Исходные данные'!$T$5)</f>
        <v>RUB</v>
      </c>
      <c r="C26" s="43">
        <f>C17/(1+'Исходные данные'!$M$10)</f>
        <v>44800</v>
      </c>
      <c r="D26" s="43">
        <f>D17/(1+'Исходные данные'!$M$10)</f>
        <v>64000</v>
      </c>
      <c r="E26" s="43">
        <f>E17/(1+'Исходные данные'!$M$10)</f>
        <v>100800</v>
      </c>
      <c r="F26" s="43">
        <f>F17/(1+'Исходные данные'!$M$10)</f>
        <v>64000</v>
      </c>
      <c r="G26" s="43">
        <f>G17/(1+'Исходные данные'!$M$10)</f>
        <v>80000</v>
      </c>
      <c r="H26" s="43">
        <f>H17/(1+'Исходные данные'!$M$10)</f>
        <v>112000</v>
      </c>
      <c r="I26" s="43">
        <f>I17/(1+'Исходные данные'!$M$10)</f>
        <v>64000</v>
      </c>
      <c r="J26" s="43">
        <f>J17/(1+'Исходные данные'!$M$10)</f>
        <v>80000</v>
      </c>
      <c r="K26" s="43">
        <f>K17/(1+'Исходные данные'!$M$10)</f>
        <v>112000</v>
      </c>
      <c r="L26" s="43">
        <f>L17/(1+'Исходные данные'!$M$10)</f>
        <v>64000</v>
      </c>
      <c r="M26" s="43">
        <f>M17/(1+'Исходные данные'!$M$10)</f>
        <v>80000</v>
      </c>
      <c r="N26" s="43">
        <f>N17/(1+'Исходные данные'!$M$10)</f>
        <v>112000</v>
      </c>
      <c r="O26" s="44">
        <f t="shared" ref="O26:O31" si="30">SUM(C26:N26)</f>
        <v>977600</v>
      </c>
      <c r="P26" s="44">
        <f t="shared" ref="P26:P31" si="31">O26/12</f>
        <v>81466.666666666672</v>
      </c>
      <c r="Q26" s="43">
        <f>Q17/(1+'Исходные данные'!$M$10)</f>
        <v>76800</v>
      </c>
      <c r="R26" s="43">
        <f>R17/(1+'Исходные данные'!$M$10)</f>
        <v>96000</v>
      </c>
      <c r="S26" s="43">
        <f>S17/(1+'Исходные данные'!$M$10)</f>
        <v>134400</v>
      </c>
      <c r="T26" s="43">
        <f>T17/(1+'Исходные данные'!$M$10)</f>
        <v>76800</v>
      </c>
      <c r="U26" s="43">
        <f>U17/(1+'Исходные данные'!$M$10)</f>
        <v>96000</v>
      </c>
      <c r="V26" s="43">
        <f>V17/(1+'Исходные данные'!$M$10)</f>
        <v>134400</v>
      </c>
      <c r="W26" s="43">
        <f>W17/(1+'Исходные данные'!$M$10)</f>
        <v>76800</v>
      </c>
      <c r="X26" s="43">
        <f>X17/(1+'Исходные данные'!$M$10)</f>
        <v>96000</v>
      </c>
      <c r="Y26" s="43">
        <f>Y17/(1+'Исходные данные'!$M$10)</f>
        <v>134400</v>
      </c>
      <c r="Z26" s="43">
        <f>Z17/(1+'Исходные данные'!$M$10)</f>
        <v>76800</v>
      </c>
      <c r="AA26" s="43">
        <f>AA17/(1+'Исходные данные'!$M$10)</f>
        <v>96000</v>
      </c>
      <c r="AB26" s="43">
        <f>AB17/(1+'Исходные данные'!$M$10)</f>
        <v>134400</v>
      </c>
      <c r="AC26" s="44">
        <f t="shared" ref="AC26:AC31" si="32">SUM(Q26:AB26)</f>
        <v>1228800</v>
      </c>
      <c r="AD26" s="44">
        <f t="shared" ref="AD26:AD31" si="33">AC26/12</f>
        <v>102400</v>
      </c>
      <c r="AE26" s="43">
        <f>AE17/(1+'Исходные данные'!$M$10)</f>
        <v>89600</v>
      </c>
      <c r="AF26" s="43">
        <f>AF17/(1+'Исходные данные'!$M$10)</f>
        <v>112000</v>
      </c>
      <c r="AG26" s="43">
        <f>AG17/(1+'Исходные данные'!$M$10)</f>
        <v>156800</v>
      </c>
      <c r="AH26" s="43">
        <f>AH17/(1+'Исходные данные'!$M$10)</f>
        <v>89600</v>
      </c>
      <c r="AI26" s="43">
        <f>AI17/(1+'Исходные данные'!$M$10)</f>
        <v>112000</v>
      </c>
      <c r="AJ26" s="43">
        <f>AJ17/(1+'Исходные данные'!$M$10)</f>
        <v>156800</v>
      </c>
      <c r="AK26" s="43">
        <f>AK17/(1+'Исходные данные'!$M$10)</f>
        <v>89600</v>
      </c>
      <c r="AL26" s="43">
        <f>AL17/(1+'Исходные данные'!$M$10)</f>
        <v>112000</v>
      </c>
      <c r="AM26" s="43">
        <f>AM17/(1+'Исходные данные'!$M$10)</f>
        <v>156800</v>
      </c>
      <c r="AN26" s="43">
        <f>AN17/(1+'Исходные данные'!$M$10)</f>
        <v>89600</v>
      </c>
      <c r="AO26" s="43">
        <f>AO17/(1+'Исходные данные'!$M$10)</f>
        <v>112000</v>
      </c>
      <c r="AP26" s="43">
        <f>AP17/(1+'Исходные данные'!$M$10)</f>
        <v>156800</v>
      </c>
      <c r="AQ26" s="44">
        <f t="shared" ref="AQ26:AQ31" si="34">SUM(AE26:AP26)</f>
        <v>1433600</v>
      </c>
      <c r="AR26" s="44">
        <f t="shared" ref="AR26:AR31" si="35">AQ26/12</f>
        <v>119466.66666666667</v>
      </c>
      <c r="AS26" s="45">
        <f t="shared" ref="AS26:AS31" si="36">O26+AC26+AQ26</f>
        <v>3640000</v>
      </c>
      <c r="AT26" s="46"/>
      <c r="AX26" s="18"/>
      <c r="AY26" s="18"/>
      <c r="AZ26" s="18"/>
      <c r="BA26" s="18"/>
      <c r="BB26" s="18"/>
    </row>
    <row r="27" spans="1:54" s="52" customFormat="1" ht="11.25">
      <c r="A27" s="64" t="str">
        <f t="shared" ref="A27:A31" si="37">A18</f>
        <v>Столешницы сан. узел</v>
      </c>
      <c r="B27" s="48" t="str">
        <f>CHOOSE('Исходные данные'!$S$2,'Исходные данные'!$T$2,'Исходные данные'!$T$3,'Исходные данные'!$T$4,'Исходные данные'!$T$5)</f>
        <v>RUB</v>
      </c>
      <c r="C27" s="49">
        <f>C18/(1+'Исходные данные'!$M$11)</f>
        <v>18200</v>
      </c>
      <c r="D27" s="49">
        <f>D18/(1+'Исходные данные'!$M$11)</f>
        <v>26000</v>
      </c>
      <c r="E27" s="49">
        <f>E18/(1+'Исходные данные'!$M$11)</f>
        <v>35100</v>
      </c>
      <c r="F27" s="49">
        <f>F18/(1+'Исходные данные'!$M$11)</f>
        <v>26000</v>
      </c>
      <c r="G27" s="49">
        <f>G18/(1+'Исходные данные'!$M$11)</f>
        <v>32500</v>
      </c>
      <c r="H27" s="49">
        <f>H18/(1+'Исходные данные'!$M$11)</f>
        <v>39000</v>
      </c>
      <c r="I27" s="49">
        <f>I18/(1+'Исходные данные'!$M$11)</f>
        <v>26000</v>
      </c>
      <c r="J27" s="49">
        <f>J18/(1+'Исходные данные'!$M$11)</f>
        <v>32500</v>
      </c>
      <c r="K27" s="49">
        <f>K18/(1+'Исходные данные'!$M$11)</f>
        <v>39000</v>
      </c>
      <c r="L27" s="49">
        <f>L18/(1+'Исходные данные'!$M$11)</f>
        <v>26000</v>
      </c>
      <c r="M27" s="49">
        <f>M18/(1+'Исходные данные'!$M$11)</f>
        <v>32500</v>
      </c>
      <c r="N27" s="49">
        <f>N18/(1+'Исходные данные'!$M$11)</f>
        <v>39000</v>
      </c>
      <c r="O27" s="50">
        <f t="shared" si="30"/>
        <v>371800</v>
      </c>
      <c r="P27" s="50">
        <f t="shared" si="31"/>
        <v>30983.333333333332</v>
      </c>
      <c r="Q27" s="49">
        <f>Q18/(1+'Исходные данные'!$M$11)</f>
        <v>31200</v>
      </c>
      <c r="R27" s="49">
        <f>R18/(1+'Исходные данные'!$M$11)</f>
        <v>39000</v>
      </c>
      <c r="S27" s="49">
        <f>S18/(1+'Исходные данные'!$M$11)</f>
        <v>46800</v>
      </c>
      <c r="T27" s="49">
        <f>T18/(1+'Исходные данные'!$M$11)</f>
        <v>31200</v>
      </c>
      <c r="U27" s="49">
        <f>U18/(1+'Исходные данные'!$M$11)</f>
        <v>39000</v>
      </c>
      <c r="V27" s="49">
        <f>V18/(1+'Исходные данные'!$M$11)</f>
        <v>46800</v>
      </c>
      <c r="W27" s="49">
        <f>W18/(1+'Исходные данные'!$M$11)</f>
        <v>31200</v>
      </c>
      <c r="X27" s="49">
        <f>X18/(1+'Исходные данные'!$M$11)</f>
        <v>39000</v>
      </c>
      <c r="Y27" s="49">
        <f>Y18/(1+'Исходные данные'!$M$11)</f>
        <v>46800</v>
      </c>
      <c r="Z27" s="49">
        <f>Z18/(1+'Исходные данные'!$M$11)</f>
        <v>31200</v>
      </c>
      <c r="AA27" s="49">
        <f>AA18/(1+'Исходные данные'!$M$11)</f>
        <v>39000</v>
      </c>
      <c r="AB27" s="49">
        <f>AB18/(1+'Исходные данные'!$M$11)</f>
        <v>46800</v>
      </c>
      <c r="AC27" s="50">
        <f t="shared" si="32"/>
        <v>468000</v>
      </c>
      <c r="AD27" s="50">
        <f t="shared" si="33"/>
        <v>39000</v>
      </c>
      <c r="AE27" s="49">
        <f>AE18/(1+'Исходные данные'!$M$11)</f>
        <v>36400</v>
      </c>
      <c r="AF27" s="49">
        <f>AF18/(1+'Исходные данные'!$M$11)</f>
        <v>45500</v>
      </c>
      <c r="AG27" s="49">
        <f>AG18/(1+'Исходные данные'!$M$11)</f>
        <v>54600</v>
      </c>
      <c r="AH27" s="49">
        <f>AH18/(1+'Исходные данные'!$M$11)</f>
        <v>36400</v>
      </c>
      <c r="AI27" s="49">
        <f>AI18/(1+'Исходные данные'!$M$11)</f>
        <v>45500</v>
      </c>
      <c r="AJ27" s="49">
        <f>AJ18/(1+'Исходные данные'!$M$11)</f>
        <v>54600</v>
      </c>
      <c r="AK27" s="49">
        <f>AK18/(1+'Исходные данные'!$M$11)</f>
        <v>36400</v>
      </c>
      <c r="AL27" s="49">
        <f>AL18/(1+'Исходные данные'!$M$11)</f>
        <v>45500</v>
      </c>
      <c r="AM27" s="49">
        <f>AM18/(1+'Исходные данные'!$M$11)</f>
        <v>54600</v>
      </c>
      <c r="AN27" s="49">
        <f>AN18/(1+'Исходные данные'!$M$11)</f>
        <v>36400</v>
      </c>
      <c r="AO27" s="49">
        <f>AO18/(1+'Исходные данные'!$M$11)</f>
        <v>45500</v>
      </c>
      <c r="AP27" s="49">
        <f>AP18/(1+'Исходные данные'!$M$11)</f>
        <v>54600</v>
      </c>
      <c r="AQ27" s="50">
        <f t="shared" si="34"/>
        <v>546000</v>
      </c>
      <c r="AR27" s="50">
        <f t="shared" si="35"/>
        <v>45500</v>
      </c>
      <c r="AS27" s="45">
        <f t="shared" si="36"/>
        <v>1385800</v>
      </c>
      <c r="AT27" s="51"/>
      <c r="AX27" s="18"/>
      <c r="AY27" s="18"/>
      <c r="AZ27" s="18"/>
      <c r="BA27" s="18"/>
      <c r="BB27" s="18"/>
    </row>
    <row r="28" spans="1:54" s="47" customFormat="1" ht="11.25">
      <c r="A28" s="63" t="str">
        <f t="shared" si="37"/>
        <v>Барные стойки</v>
      </c>
      <c r="B28" s="42" t="str">
        <f>CHOOSE('Исходные данные'!$S$2,'Исходные данные'!$T$2,'Исходные данные'!$T$3,'Исходные данные'!$T$4,'Исходные данные'!$T$5)</f>
        <v>RUB</v>
      </c>
      <c r="C28" s="43">
        <f>C19/(1+'Исходные данные'!$M$12)</f>
        <v>4200</v>
      </c>
      <c r="D28" s="43">
        <f>D19/(1+'Исходные данные'!$M$12)</f>
        <v>4800</v>
      </c>
      <c r="E28" s="43">
        <f>E19/(1+'Исходные данные'!$M$12)</f>
        <v>10800</v>
      </c>
      <c r="F28" s="43">
        <f>F19/(1+'Исходные данные'!$M$12)</f>
        <v>6000</v>
      </c>
      <c r="G28" s="43">
        <f>G19/(1+'Исходные данные'!$M$12)</f>
        <v>6000</v>
      </c>
      <c r="H28" s="43">
        <f>H19/(1+'Исходные данные'!$M$12)</f>
        <v>12000</v>
      </c>
      <c r="I28" s="43">
        <f>I19/(1+'Исходные данные'!$M$12)</f>
        <v>6000</v>
      </c>
      <c r="J28" s="43">
        <f>J19/(1+'Исходные данные'!$M$12)</f>
        <v>6000</v>
      </c>
      <c r="K28" s="43">
        <f>K19/(1+'Исходные данные'!$M$12)</f>
        <v>12000</v>
      </c>
      <c r="L28" s="43">
        <f>L19/(1+'Исходные данные'!$M$12)</f>
        <v>6000</v>
      </c>
      <c r="M28" s="43">
        <f>M19/(1+'Исходные данные'!$M$12)</f>
        <v>6000</v>
      </c>
      <c r="N28" s="43">
        <f>N19/(1+'Исходные данные'!$M$12)</f>
        <v>12000</v>
      </c>
      <c r="O28" s="44">
        <f t="shared" si="30"/>
        <v>91800</v>
      </c>
      <c r="P28" s="44">
        <f t="shared" si="31"/>
        <v>7650</v>
      </c>
      <c r="Q28" s="43">
        <f>Q19/(1+'Исходные данные'!$M$12)</f>
        <v>7200</v>
      </c>
      <c r="R28" s="43">
        <f>R19/(1+'Исходные данные'!$M$12)</f>
        <v>7200</v>
      </c>
      <c r="S28" s="43">
        <f>S19/(1+'Исходные данные'!$M$12)</f>
        <v>14400</v>
      </c>
      <c r="T28" s="43">
        <f>T19/(1+'Исходные данные'!$M$12)</f>
        <v>7200</v>
      </c>
      <c r="U28" s="43">
        <f>U19/(1+'Исходные данные'!$M$12)</f>
        <v>7200</v>
      </c>
      <c r="V28" s="43">
        <f>V19/(1+'Исходные данные'!$M$12)</f>
        <v>14400</v>
      </c>
      <c r="W28" s="43">
        <f>W19/(1+'Исходные данные'!$M$12)</f>
        <v>7200</v>
      </c>
      <c r="X28" s="43">
        <f>X19/(1+'Исходные данные'!$M$12)</f>
        <v>7200</v>
      </c>
      <c r="Y28" s="43">
        <f>Y19/(1+'Исходные данные'!$M$12)</f>
        <v>14400</v>
      </c>
      <c r="Z28" s="43">
        <f>Z19/(1+'Исходные данные'!$M$12)</f>
        <v>7200</v>
      </c>
      <c r="AA28" s="43">
        <f>AA19/(1+'Исходные данные'!$M$12)</f>
        <v>7200</v>
      </c>
      <c r="AB28" s="43">
        <f>AB19/(1+'Исходные данные'!$M$12)</f>
        <v>14400</v>
      </c>
      <c r="AC28" s="44">
        <f t="shared" si="32"/>
        <v>115200</v>
      </c>
      <c r="AD28" s="44">
        <f t="shared" si="33"/>
        <v>9600</v>
      </c>
      <c r="AE28" s="43">
        <f>AE19/(1+'Исходные данные'!$M$12)</f>
        <v>8400</v>
      </c>
      <c r="AF28" s="43">
        <f>AF19/(1+'Исходные данные'!$M$12)</f>
        <v>8400</v>
      </c>
      <c r="AG28" s="43">
        <f>AG19/(1+'Исходные данные'!$M$12)</f>
        <v>16800</v>
      </c>
      <c r="AH28" s="43">
        <f>AH19/(1+'Исходные данные'!$M$12)</f>
        <v>8400</v>
      </c>
      <c r="AI28" s="43">
        <f>AI19/(1+'Исходные данные'!$M$12)</f>
        <v>8400</v>
      </c>
      <c r="AJ28" s="43">
        <f>AJ19/(1+'Исходные данные'!$M$12)</f>
        <v>16800</v>
      </c>
      <c r="AK28" s="43">
        <f>AK19/(1+'Исходные данные'!$M$12)</f>
        <v>8400</v>
      </c>
      <c r="AL28" s="43">
        <f>AL19/(1+'Исходные данные'!$M$12)</f>
        <v>8400</v>
      </c>
      <c r="AM28" s="43">
        <f>AM19/(1+'Исходные данные'!$M$12)</f>
        <v>16800</v>
      </c>
      <c r="AN28" s="43">
        <f>AN19/(1+'Исходные данные'!$M$12)</f>
        <v>8400</v>
      </c>
      <c r="AO28" s="43">
        <f>AO19/(1+'Исходные данные'!$M$12)</f>
        <v>8400</v>
      </c>
      <c r="AP28" s="43">
        <f>AP19/(1+'Исходные данные'!$M$12)</f>
        <v>16800</v>
      </c>
      <c r="AQ28" s="44">
        <f t="shared" si="34"/>
        <v>134400</v>
      </c>
      <c r="AR28" s="44">
        <f t="shared" si="35"/>
        <v>11200</v>
      </c>
      <c r="AS28" s="45">
        <f t="shared" si="36"/>
        <v>341400</v>
      </c>
      <c r="AT28" s="46"/>
      <c r="AX28" s="18"/>
      <c r="AY28" s="18"/>
      <c r="AZ28" s="18"/>
      <c r="BA28" s="18"/>
      <c r="BB28" s="18"/>
    </row>
    <row r="29" spans="1:54" s="52" customFormat="1" ht="11.25">
      <c r="A29" s="64" t="str">
        <f t="shared" si="37"/>
        <v>Ванны</v>
      </c>
      <c r="B29" s="48" t="str">
        <f>CHOOSE('Исходные данные'!$S$2,'Исходные данные'!$T$2,'Исходные данные'!$T$3,'Исходные данные'!$T$4,'Исходные данные'!$T$5)</f>
        <v>RUB</v>
      </c>
      <c r="C29" s="49">
        <f>C20/(1+'Исходные данные'!$M$13)</f>
        <v>0</v>
      </c>
      <c r="D29" s="49">
        <f>D20/(1+'Исходные данные'!$M$13)</f>
        <v>0</v>
      </c>
      <c r="E29" s="49">
        <f>E20/(1+'Исходные данные'!$M$13)</f>
        <v>16200</v>
      </c>
      <c r="F29" s="49">
        <f>F20/(1+'Исходные данные'!$M$13)</f>
        <v>0</v>
      </c>
      <c r="G29" s="49">
        <f>G20/(1+'Исходные данные'!$M$13)</f>
        <v>0</v>
      </c>
      <c r="H29" s="49">
        <f>H20/(1+'Исходные данные'!$M$13)</f>
        <v>18000</v>
      </c>
      <c r="I29" s="49">
        <f>I20/(1+'Исходные данные'!$M$13)</f>
        <v>0</v>
      </c>
      <c r="J29" s="49">
        <f>J20/(1+'Исходные данные'!$M$13)</f>
        <v>0</v>
      </c>
      <c r="K29" s="49">
        <f>K20/(1+'Исходные данные'!$M$13)</f>
        <v>18000</v>
      </c>
      <c r="L29" s="49">
        <f>L20/(1+'Исходные данные'!$M$13)</f>
        <v>0</v>
      </c>
      <c r="M29" s="49">
        <f>M20/(1+'Исходные данные'!$M$13)</f>
        <v>0</v>
      </c>
      <c r="N29" s="49">
        <f>N20/(1+'Исходные данные'!$M$13)</f>
        <v>18000</v>
      </c>
      <c r="O29" s="50">
        <f t="shared" si="30"/>
        <v>70200</v>
      </c>
      <c r="P29" s="50">
        <f t="shared" si="31"/>
        <v>5850</v>
      </c>
      <c r="Q29" s="49">
        <f>Q20/(1+'Исходные данные'!$M$13)</f>
        <v>0</v>
      </c>
      <c r="R29" s="49">
        <f>R20/(1+'Исходные данные'!$M$13)</f>
        <v>0</v>
      </c>
      <c r="S29" s="49">
        <f>S20/(1+'Исходные данные'!$M$13)</f>
        <v>21600</v>
      </c>
      <c r="T29" s="49">
        <f>T20/(1+'Исходные данные'!$M$13)</f>
        <v>0</v>
      </c>
      <c r="U29" s="49">
        <f>U20/(1+'Исходные данные'!$M$13)</f>
        <v>0</v>
      </c>
      <c r="V29" s="49">
        <f>V20/(1+'Исходные данные'!$M$13)</f>
        <v>21600</v>
      </c>
      <c r="W29" s="49">
        <f>W20/(1+'Исходные данные'!$M$13)</f>
        <v>0</v>
      </c>
      <c r="X29" s="49">
        <f>X20/(1+'Исходные данные'!$M$13)</f>
        <v>0</v>
      </c>
      <c r="Y29" s="49">
        <f>Y20/(1+'Исходные данные'!$M$13)</f>
        <v>21600</v>
      </c>
      <c r="Z29" s="49">
        <f>Z20/(1+'Исходные данные'!$M$13)</f>
        <v>0</v>
      </c>
      <c r="AA29" s="49">
        <f>AA20/(1+'Исходные данные'!$M$13)</f>
        <v>0</v>
      </c>
      <c r="AB29" s="49">
        <f>AB20/(1+'Исходные данные'!$M$13)</f>
        <v>21600</v>
      </c>
      <c r="AC29" s="50">
        <f t="shared" si="32"/>
        <v>86400</v>
      </c>
      <c r="AD29" s="50">
        <f t="shared" si="33"/>
        <v>7200</v>
      </c>
      <c r="AE29" s="49">
        <f>AE20/(1+'Исходные данные'!$M$13)</f>
        <v>0</v>
      </c>
      <c r="AF29" s="49">
        <f>AF20/(1+'Исходные данные'!$M$13)</f>
        <v>0</v>
      </c>
      <c r="AG29" s="49">
        <f>AG20/(1+'Исходные данные'!$M$13)</f>
        <v>25199.999999999996</v>
      </c>
      <c r="AH29" s="49">
        <f>AH20/(1+'Исходные данные'!$M$13)</f>
        <v>0</v>
      </c>
      <c r="AI29" s="49">
        <f>AI20/(1+'Исходные данные'!$M$13)</f>
        <v>0</v>
      </c>
      <c r="AJ29" s="49">
        <f>AJ20/(1+'Исходные данные'!$M$13)</f>
        <v>25199.999999999996</v>
      </c>
      <c r="AK29" s="49">
        <f>AK20/(1+'Исходные данные'!$M$13)</f>
        <v>0</v>
      </c>
      <c r="AL29" s="49">
        <f>AL20/(1+'Исходные данные'!$M$13)</f>
        <v>0</v>
      </c>
      <c r="AM29" s="49">
        <f>AM20/(1+'Исходные данные'!$M$13)</f>
        <v>25199.999999999996</v>
      </c>
      <c r="AN29" s="49">
        <f>AN20/(1+'Исходные данные'!$M$13)</f>
        <v>0</v>
      </c>
      <c r="AO29" s="49">
        <f>AO20/(1+'Исходные данные'!$M$13)</f>
        <v>0</v>
      </c>
      <c r="AP29" s="49">
        <f>AP20/(1+'Исходные данные'!$M$13)</f>
        <v>25199.999999999996</v>
      </c>
      <c r="AQ29" s="50">
        <f t="shared" si="34"/>
        <v>100799.99999999999</v>
      </c>
      <c r="AR29" s="50">
        <f t="shared" si="35"/>
        <v>8399.9999999999982</v>
      </c>
      <c r="AS29" s="45">
        <f t="shared" si="36"/>
        <v>257400</v>
      </c>
      <c r="AT29" s="51"/>
      <c r="AX29" s="18"/>
      <c r="AY29" s="18"/>
      <c r="AZ29" s="18"/>
      <c r="BA29" s="18"/>
      <c r="BB29" s="18"/>
    </row>
    <row r="30" spans="1:54" s="47" customFormat="1" ht="11.25">
      <c r="A30" s="63" t="str">
        <f t="shared" si="37"/>
        <v>Ступени для лестниц</v>
      </c>
      <c r="B30" s="42" t="str">
        <f>CHOOSE('Исходные данные'!$S$2,'Исходные данные'!$T$2,'Исходные данные'!$T$3,'Исходные данные'!$T$4,'Исходные данные'!$T$5)</f>
        <v>RUB</v>
      </c>
      <c r="C30" s="43">
        <f>C21/(1+'Исходные данные'!$M$14)</f>
        <v>0</v>
      </c>
      <c r="D30" s="43">
        <f>D21/(1+'Исходные данные'!$M$14)</f>
        <v>0</v>
      </c>
      <c r="E30" s="43">
        <f>E21/(1+'Исходные данные'!$M$14)</f>
        <v>28800</v>
      </c>
      <c r="F30" s="43">
        <f>F21/(1+'Исходные данные'!$M$14)</f>
        <v>0</v>
      </c>
      <c r="G30" s="43">
        <f>G21/(1+'Исходные данные'!$M$14)</f>
        <v>0</v>
      </c>
      <c r="H30" s="43">
        <f>H21/(1+'Исходные данные'!$M$14)</f>
        <v>32000</v>
      </c>
      <c r="I30" s="43">
        <f>I21/(1+'Исходные данные'!$M$14)</f>
        <v>0</v>
      </c>
      <c r="J30" s="43">
        <f>J21/(1+'Исходные данные'!$M$14)</f>
        <v>0</v>
      </c>
      <c r="K30" s="43">
        <f>K21/(1+'Исходные данные'!$M$14)</f>
        <v>32000</v>
      </c>
      <c r="L30" s="43">
        <f>L21/(1+'Исходные данные'!$M$14)</f>
        <v>0</v>
      </c>
      <c r="M30" s="43">
        <f>M21/(1+'Исходные данные'!$M$14)</f>
        <v>0</v>
      </c>
      <c r="N30" s="43">
        <f>N21/(1+'Исходные данные'!$M$14)</f>
        <v>32000</v>
      </c>
      <c r="O30" s="44">
        <f t="shared" si="30"/>
        <v>124800</v>
      </c>
      <c r="P30" s="44">
        <f t="shared" si="31"/>
        <v>10400</v>
      </c>
      <c r="Q30" s="43">
        <f>Q21/(1+'Исходные данные'!$M$14)</f>
        <v>0</v>
      </c>
      <c r="R30" s="43">
        <f>R21/(1+'Исходные данные'!$M$14)</f>
        <v>0</v>
      </c>
      <c r="S30" s="43">
        <f>S21/(1+'Исходные данные'!$M$14)</f>
        <v>38400</v>
      </c>
      <c r="T30" s="43">
        <f>T21/(1+'Исходные данные'!$M$14)</f>
        <v>0</v>
      </c>
      <c r="U30" s="43">
        <f>U21/(1+'Исходные данные'!$M$14)</f>
        <v>0</v>
      </c>
      <c r="V30" s="43">
        <f>V21/(1+'Исходные данные'!$M$14)</f>
        <v>38400</v>
      </c>
      <c r="W30" s="43">
        <f>W21/(1+'Исходные данные'!$M$14)</f>
        <v>0</v>
      </c>
      <c r="X30" s="43">
        <f>X21/(1+'Исходные данные'!$M$14)</f>
        <v>0</v>
      </c>
      <c r="Y30" s="43">
        <f>Y21/(1+'Исходные данные'!$M$14)</f>
        <v>38400</v>
      </c>
      <c r="Z30" s="43">
        <f>Z21/(1+'Исходные данные'!$M$14)</f>
        <v>0</v>
      </c>
      <c r="AA30" s="43">
        <f>AA21/(1+'Исходные данные'!$M$14)</f>
        <v>0</v>
      </c>
      <c r="AB30" s="43">
        <f>AB21/(1+'Исходные данные'!$M$14)</f>
        <v>38400</v>
      </c>
      <c r="AC30" s="44">
        <f t="shared" si="32"/>
        <v>153600</v>
      </c>
      <c r="AD30" s="44">
        <f t="shared" si="33"/>
        <v>12800</v>
      </c>
      <c r="AE30" s="43">
        <f>AE21/(1+'Исходные данные'!$M$14)</f>
        <v>0</v>
      </c>
      <c r="AF30" s="43">
        <f>AF21/(1+'Исходные данные'!$M$14)</f>
        <v>0</v>
      </c>
      <c r="AG30" s="43">
        <f>AG21/(1+'Исходные данные'!$M$14)</f>
        <v>44800</v>
      </c>
      <c r="AH30" s="43">
        <f>AH21/(1+'Исходные данные'!$M$14)</f>
        <v>0</v>
      </c>
      <c r="AI30" s="43">
        <f>AI21/(1+'Исходные данные'!$M$14)</f>
        <v>0</v>
      </c>
      <c r="AJ30" s="43">
        <f>AJ21/(1+'Исходные данные'!$M$14)</f>
        <v>44800</v>
      </c>
      <c r="AK30" s="43">
        <f>AK21/(1+'Исходные данные'!$M$14)</f>
        <v>0</v>
      </c>
      <c r="AL30" s="43">
        <f>AL21/(1+'Исходные данные'!$M$14)</f>
        <v>0</v>
      </c>
      <c r="AM30" s="43">
        <f>AM21/(1+'Исходные данные'!$M$14)</f>
        <v>44800</v>
      </c>
      <c r="AN30" s="43">
        <f>AN21/(1+'Исходные данные'!$M$14)</f>
        <v>0</v>
      </c>
      <c r="AO30" s="43">
        <f>AO21/(1+'Исходные данные'!$M$14)</f>
        <v>0</v>
      </c>
      <c r="AP30" s="43">
        <f>AP21/(1+'Исходные данные'!$M$14)</f>
        <v>44800</v>
      </c>
      <c r="AQ30" s="44">
        <f t="shared" si="34"/>
        <v>179200</v>
      </c>
      <c r="AR30" s="44">
        <f t="shared" si="35"/>
        <v>14933.333333333334</v>
      </c>
      <c r="AS30" s="45">
        <f t="shared" si="36"/>
        <v>457600</v>
      </c>
      <c r="AT30" s="46"/>
      <c r="AX30" s="18"/>
      <c r="AY30" s="18"/>
      <c r="AZ30" s="18"/>
      <c r="BA30" s="18"/>
      <c r="BB30" s="18"/>
    </row>
    <row r="31" spans="1:54" s="52" customFormat="1" ht="11.25">
      <c r="A31" s="64" t="str">
        <f t="shared" si="37"/>
        <v>Подоконники</v>
      </c>
      <c r="B31" s="48" t="str">
        <f>CHOOSE('Исходные данные'!$S$2,'Исходные данные'!$T$2,'Исходные данные'!$T$3,'Исходные данные'!$T$4,'Исходные данные'!$T$5)</f>
        <v>RUB</v>
      </c>
      <c r="C31" s="49">
        <f>C22/(1+'Исходные данные'!$M$15)</f>
        <v>7700.0000000000009</v>
      </c>
      <c r="D31" s="49">
        <f>D22/(1+'Исходные данные'!$M$15)</f>
        <v>8800</v>
      </c>
      <c r="E31" s="49">
        <f>E22/(1+'Исходные данные'!$M$15)</f>
        <v>9900</v>
      </c>
      <c r="F31" s="49">
        <f>F22/(1+'Исходные данные'!$M$15)</f>
        <v>11000</v>
      </c>
      <c r="G31" s="49">
        <f>G22/(1+'Исходные данные'!$M$15)</f>
        <v>11000</v>
      </c>
      <c r="H31" s="49">
        <f>H22/(1+'Исходные данные'!$M$15)</f>
        <v>11000</v>
      </c>
      <c r="I31" s="49">
        <f>I22/(1+'Исходные данные'!$M$15)</f>
        <v>11000</v>
      </c>
      <c r="J31" s="49">
        <f>J22/(1+'Исходные данные'!$M$15)</f>
        <v>11000</v>
      </c>
      <c r="K31" s="49">
        <f>K22/(1+'Исходные данные'!$M$15)</f>
        <v>11000</v>
      </c>
      <c r="L31" s="49">
        <f>L22/(1+'Исходные данные'!$M$15)</f>
        <v>11000</v>
      </c>
      <c r="M31" s="49">
        <f>M22/(1+'Исходные данные'!$M$15)</f>
        <v>11000</v>
      </c>
      <c r="N31" s="49">
        <f>N22/(1+'Исходные данные'!$M$15)</f>
        <v>11000</v>
      </c>
      <c r="O31" s="50">
        <f t="shared" si="30"/>
        <v>125400</v>
      </c>
      <c r="P31" s="50">
        <f t="shared" si="31"/>
        <v>10450</v>
      </c>
      <c r="Q31" s="49">
        <f>Q22/(1+'Исходные данные'!$M$15)</f>
        <v>13200.000000000002</v>
      </c>
      <c r="R31" s="49">
        <f>R22/(1+'Исходные данные'!$M$15)</f>
        <v>13200.000000000002</v>
      </c>
      <c r="S31" s="49">
        <f>S22/(1+'Исходные данные'!$M$15)</f>
        <v>13200.000000000002</v>
      </c>
      <c r="T31" s="49">
        <f>T22/(1+'Исходные данные'!$M$15)</f>
        <v>13200.000000000002</v>
      </c>
      <c r="U31" s="49">
        <f>U22/(1+'Исходные данные'!$M$15)</f>
        <v>13200.000000000002</v>
      </c>
      <c r="V31" s="49">
        <f>V22/(1+'Исходные данные'!$M$15)</f>
        <v>13200.000000000002</v>
      </c>
      <c r="W31" s="49">
        <f>W22/(1+'Исходные данные'!$M$15)</f>
        <v>13200.000000000002</v>
      </c>
      <c r="X31" s="49">
        <f>X22/(1+'Исходные данные'!$M$15)</f>
        <v>13200.000000000002</v>
      </c>
      <c r="Y31" s="49">
        <f>Y22/(1+'Исходные данные'!$M$15)</f>
        <v>13200.000000000002</v>
      </c>
      <c r="Z31" s="49">
        <f>Z22/(1+'Исходные данные'!$M$15)</f>
        <v>13200.000000000002</v>
      </c>
      <c r="AA31" s="49">
        <f>AA22/(1+'Исходные данные'!$M$15)</f>
        <v>13200.000000000002</v>
      </c>
      <c r="AB31" s="49">
        <f>AB22/(1+'Исходные данные'!$M$15)</f>
        <v>13200.000000000002</v>
      </c>
      <c r="AC31" s="50">
        <f t="shared" si="32"/>
        <v>158400.00000000003</v>
      </c>
      <c r="AD31" s="50">
        <f t="shared" si="33"/>
        <v>13200.000000000002</v>
      </c>
      <c r="AE31" s="49">
        <f>AE22/(1+'Исходные данные'!$M$15)</f>
        <v>15400.000000000002</v>
      </c>
      <c r="AF31" s="49">
        <f>AF22/(1+'Исходные данные'!$M$15)</f>
        <v>15400.000000000002</v>
      </c>
      <c r="AG31" s="49">
        <f>AG22/(1+'Исходные данные'!$M$15)</f>
        <v>15400.000000000002</v>
      </c>
      <c r="AH31" s="49">
        <f>AH22/(1+'Исходные данные'!$M$15)</f>
        <v>15400.000000000002</v>
      </c>
      <c r="AI31" s="49">
        <f>AI22/(1+'Исходные данные'!$M$15)</f>
        <v>15400.000000000002</v>
      </c>
      <c r="AJ31" s="49">
        <f>AJ22/(1+'Исходные данные'!$M$15)</f>
        <v>15400.000000000002</v>
      </c>
      <c r="AK31" s="49">
        <f>AK22/(1+'Исходные данные'!$M$15)</f>
        <v>15400.000000000002</v>
      </c>
      <c r="AL31" s="49">
        <f>AL22/(1+'Исходные данные'!$M$15)</f>
        <v>15400.000000000002</v>
      </c>
      <c r="AM31" s="49">
        <f>AM22/(1+'Исходные данные'!$M$15)</f>
        <v>15400.000000000002</v>
      </c>
      <c r="AN31" s="49">
        <f>AN22/(1+'Исходные данные'!$M$15)</f>
        <v>15400.000000000002</v>
      </c>
      <c r="AO31" s="49">
        <f>AO22/(1+'Исходные данные'!$M$15)</f>
        <v>15400.000000000002</v>
      </c>
      <c r="AP31" s="49">
        <f>AP22/(1+'Исходные данные'!$M$15)</f>
        <v>15400.000000000002</v>
      </c>
      <c r="AQ31" s="50">
        <f t="shared" si="34"/>
        <v>184800.00000000003</v>
      </c>
      <c r="AR31" s="50">
        <f t="shared" si="35"/>
        <v>15400.000000000002</v>
      </c>
      <c r="AS31" s="45">
        <f t="shared" si="36"/>
        <v>468600</v>
      </c>
      <c r="AT31" s="51"/>
      <c r="AX31" s="18"/>
      <c r="AY31" s="18"/>
      <c r="AZ31" s="18"/>
      <c r="BA31" s="18"/>
      <c r="BB31" s="18"/>
    </row>
    <row r="32" spans="1:54" s="57" customFormat="1" ht="11.25">
      <c r="A32" s="53" t="s">
        <v>3</v>
      </c>
      <c r="B32" s="54" t="str">
        <f>CHOOSE('Исходные данные'!$S$2,'Исходные данные'!$T$2,'Исходные данные'!$T$3,'Исходные данные'!$T$4,'Исходные данные'!$T$5)</f>
        <v>RUB</v>
      </c>
      <c r="C32" s="55">
        <f>SUM(C26:C31)</f>
        <v>74900</v>
      </c>
      <c r="D32" s="55">
        <f t="shared" ref="D32" si="38">SUM(D26:D31)</f>
        <v>103600</v>
      </c>
      <c r="E32" s="55">
        <f t="shared" ref="E32" si="39">SUM(E26:E31)</f>
        <v>201600</v>
      </c>
      <c r="F32" s="55">
        <f t="shared" ref="F32" si="40">SUM(F26:F31)</f>
        <v>107000</v>
      </c>
      <c r="G32" s="55">
        <f t="shared" ref="G32" si="41">SUM(G26:G31)</f>
        <v>129500</v>
      </c>
      <c r="H32" s="55">
        <f t="shared" ref="H32" si="42">SUM(H26:H31)</f>
        <v>224000</v>
      </c>
      <c r="I32" s="55">
        <f t="shared" ref="I32" si="43">SUM(I26:I31)</f>
        <v>107000</v>
      </c>
      <c r="J32" s="55">
        <f t="shared" ref="J32" si="44">SUM(J26:J31)</f>
        <v>129500</v>
      </c>
      <c r="K32" s="55">
        <f t="shared" ref="K32" si="45">SUM(K26:K31)</f>
        <v>224000</v>
      </c>
      <c r="L32" s="55">
        <f t="shared" ref="L32" si="46">SUM(L26:L31)</f>
        <v>107000</v>
      </c>
      <c r="M32" s="55">
        <f t="shared" ref="M32" si="47">SUM(M26:M31)</f>
        <v>129500</v>
      </c>
      <c r="N32" s="55">
        <f t="shared" ref="N32" si="48">SUM(N26:N31)</f>
        <v>224000</v>
      </c>
      <c r="O32" s="55">
        <f t="shared" ref="O32" si="49">SUM(O26:O31)</f>
        <v>1761600</v>
      </c>
      <c r="P32" s="55">
        <f t="shared" ref="P32" si="50">SUM(P26:P31)</f>
        <v>146800</v>
      </c>
      <c r="Q32" s="55">
        <f t="shared" ref="Q32" si="51">SUM(Q26:Q31)</f>
        <v>128400</v>
      </c>
      <c r="R32" s="55">
        <f t="shared" ref="R32" si="52">SUM(R26:R31)</f>
        <v>155400</v>
      </c>
      <c r="S32" s="55">
        <f t="shared" ref="S32" si="53">SUM(S26:S31)</f>
        <v>268800</v>
      </c>
      <c r="T32" s="55">
        <f t="shared" ref="T32" si="54">SUM(T26:T31)</f>
        <v>128400</v>
      </c>
      <c r="U32" s="55">
        <f t="shared" ref="U32" si="55">SUM(U26:U31)</f>
        <v>155400</v>
      </c>
      <c r="V32" s="55">
        <f t="shared" ref="V32" si="56">SUM(V26:V31)</f>
        <v>268800</v>
      </c>
      <c r="W32" s="55">
        <f t="shared" ref="W32" si="57">SUM(W26:W31)</f>
        <v>128400</v>
      </c>
      <c r="X32" s="55">
        <f t="shared" ref="X32" si="58">SUM(X26:X31)</f>
        <v>155400</v>
      </c>
      <c r="Y32" s="55">
        <f t="shared" ref="Y32" si="59">SUM(Y26:Y31)</f>
        <v>268800</v>
      </c>
      <c r="Z32" s="55">
        <f t="shared" ref="Z32" si="60">SUM(Z26:Z31)</f>
        <v>128400</v>
      </c>
      <c r="AA32" s="55">
        <f t="shared" ref="AA32" si="61">SUM(AA26:AA31)</f>
        <v>155400</v>
      </c>
      <c r="AB32" s="55">
        <f t="shared" ref="AB32" si="62">SUM(AB26:AB31)</f>
        <v>268800</v>
      </c>
      <c r="AC32" s="55">
        <f t="shared" ref="AC32" si="63">SUM(AC26:AC31)</f>
        <v>2210400</v>
      </c>
      <c r="AD32" s="55">
        <f t="shared" ref="AD32" si="64">SUM(AD26:AD31)</f>
        <v>184200</v>
      </c>
      <c r="AE32" s="55">
        <f t="shared" ref="AE32" si="65">SUM(AE26:AE31)</f>
        <v>149800</v>
      </c>
      <c r="AF32" s="55">
        <f t="shared" ref="AF32" si="66">SUM(AF26:AF31)</f>
        <v>181300</v>
      </c>
      <c r="AG32" s="55">
        <f t="shared" ref="AG32" si="67">SUM(AG26:AG31)</f>
        <v>313600</v>
      </c>
      <c r="AH32" s="55">
        <f t="shared" ref="AH32" si="68">SUM(AH26:AH31)</f>
        <v>149800</v>
      </c>
      <c r="AI32" s="55">
        <f t="shared" ref="AI32" si="69">SUM(AI26:AI31)</f>
        <v>181300</v>
      </c>
      <c r="AJ32" s="55">
        <f t="shared" ref="AJ32" si="70">SUM(AJ26:AJ31)</f>
        <v>313600</v>
      </c>
      <c r="AK32" s="55">
        <f t="shared" ref="AK32" si="71">SUM(AK26:AK31)</f>
        <v>149800</v>
      </c>
      <c r="AL32" s="55">
        <f t="shared" ref="AL32" si="72">SUM(AL26:AL31)</f>
        <v>181300</v>
      </c>
      <c r="AM32" s="55">
        <f t="shared" ref="AM32" si="73">SUM(AM26:AM31)</f>
        <v>313600</v>
      </c>
      <c r="AN32" s="55">
        <f t="shared" ref="AN32" si="74">SUM(AN26:AN31)</f>
        <v>149800</v>
      </c>
      <c r="AO32" s="55">
        <f t="shared" ref="AO32" si="75">SUM(AO26:AO31)</f>
        <v>181300</v>
      </c>
      <c r="AP32" s="55">
        <f t="shared" ref="AP32" si="76">SUM(AP26:AP31)</f>
        <v>313600</v>
      </c>
      <c r="AQ32" s="55">
        <f t="shared" ref="AQ32" si="77">SUM(AQ26:AQ31)</f>
        <v>2578800</v>
      </c>
      <c r="AR32" s="55">
        <f t="shared" ref="AR32" si="78">SUM(AR26:AR31)</f>
        <v>214900.00000000003</v>
      </c>
      <c r="AS32" s="55">
        <f t="shared" ref="AS32" si="79">SUM(AS26:AS31)</f>
        <v>6550800</v>
      </c>
      <c r="AT32" s="56"/>
      <c r="AX32" s="18"/>
      <c r="AY32" s="18"/>
      <c r="AZ32" s="18"/>
      <c r="BA32" s="18"/>
      <c r="BB32" s="18"/>
    </row>
    <row r="33" spans="1:54" s="41" customFormat="1" ht="12" thickBot="1">
      <c r="A33" s="58"/>
      <c r="B33" s="59"/>
      <c r="C33" s="60"/>
      <c r="D33" s="58"/>
      <c r="E33" s="58"/>
      <c r="F33" s="58"/>
      <c r="G33" s="58"/>
      <c r="H33" s="58"/>
      <c r="I33" s="58"/>
      <c r="J33" s="58"/>
      <c r="O33" s="61"/>
      <c r="P33" s="61"/>
      <c r="Q33" s="60"/>
      <c r="R33" s="58"/>
      <c r="S33" s="58"/>
      <c r="T33" s="58"/>
      <c r="U33" s="58"/>
      <c r="V33" s="58"/>
      <c r="W33" s="58"/>
      <c r="X33" s="58"/>
      <c r="AC33" s="61"/>
      <c r="AD33" s="61"/>
      <c r="AE33" s="60"/>
      <c r="AF33" s="58"/>
      <c r="AG33" s="58"/>
      <c r="AH33" s="58"/>
      <c r="AI33" s="58"/>
      <c r="AJ33" s="58"/>
      <c r="AK33" s="58"/>
      <c r="AL33" s="58"/>
      <c r="AQ33" s="61"/>
      <c r="AR33" s="61"/>
      <c r="AX33" s="18"/>
      <c r="AY33" s="18"/>
      <c r="AZ33" s="18"/>
      <c r="BA33" s="18"/>
      <c r="BB33" s="18"/>
    </row>
    <row r="34" spans="1:54" s="18" customFormat="1" ht="24" thickTop="1" thickBot="1">
      <c r="A34" s="25" t="s">
        <v>79</v>
      </c>
      <c r="B34" s="66"/>
      <c r="C34" s="38" t="str">
        <f t="shared" ref="C34:N34" si="80">C$6</f>
        <v>январь</v>
      </c>
      <c r="D34" s="38" t="str">
        <f t="shared" si="80"/>
        <v>февраль</v>
      </c>
      <c r="E34" s="38" t="str">
        <f t="shared" si="80"/>
        <v>март</v>
      </c>
      <c r="F34" s="38" t="str">
        <f t="shared" si="80"/>
        <v>апрель</v>
      </c>
      <c r="G34" s="38" t="str">
        <f t="shared" si="80"/>
        <v>май</v>
      </c>
      <c r="H34" s="38" t="str">
        <f t="shared" si="80"/>
        <v>июнь</v>
      </c>
      <c r="I34" s="38" t="str">
        <f t="shared" si="80"/>
        <v>июль</v>
      </c>
      <c r="J34" s="38" t="str">
        <f t="shared" si="80"/>
        <v>август</v>
      </c>
      <c r="K34" s="38" t="str">
        <f t="shared" si="80"/>
        <v>сентябрь</v>
      </c>
      <c r="L34" s="38" t="str">
        <f t="shared" si="80"/>
        <v>октябрь</v>
      </c>
      <c r="M34" s="38" t="str">
        <f t="shared" si="80"/>
        <v>ноябрь</v>
      </c>
      <c r="N34" s="38" t="str">
        <f t="shared" si="80"/>
        <v>декабрь</v>
      </c>
      <c r="O34" s="62" t="str">
        <f>O16</f>
        <v>Итого за 1-й год</v>
      </c>
      <c r="P34" s="62" t="str">
        <f>P16</f>
        <v>Среднемесячно за 1-й год</v>
      </c>
      <c r="Q34" s="38" t="str">
        <f t="shared" ref="Q34:AB34" si="81">Q$6</f>
        <v>январь</v>
      </c>
      <c r="R34" s="38" t="str">
        <f t="shared" si="81"/>
        <v>февраль</v>
      </c>
      <c r="S34" s="38" t="str">
        <f t="shared" si="81"/>
        <v>март</v>
      </c>
      <c r="T34" s="38" t="str">
        <f t="shared" si="81"/>
        <v>апрель</v>
      </c>
      <c r="U34" s="38" t="str">
        <f t="shared" si="81"/>
        <v>май</v>
      </c>
      <c r="V34" s="38" t="str">
        <f t="shared" si="81"/>
        <v>июнь</v>
      </c>
      <c r="W34" s="38" t="str">
        <f t="shared" si="81"/>
        <v>июль</v>
      </c>
      <c r="X34" s="38" t="str">
        <f t="shared" si="81"/>
        <v>август</v>
      </c>
      <c r="Y34" s="38" t="str">
        <f t="shared" si="81"/>
        <v>сентябрь</v>
      </c>
      <c r="Z34" s="38" t="str">
        <f t="shared" si="81"/>
        <v>октябрь</v>
      </c>
      <c r="AA34" s="38" t="str">
        <f t="shared" si="81"/>
        <v>ноябрь</v>
      </c>
      <c r="AB34" s="38" t="str">
        <f t="shared" si="81"/>
        <v>декабрь</v>
      </c>
      <c r="AC34" s="62" t="str">
        <f>AC16</f>
        <v>Итого за 2-й год</v>
      </c>
      <c r="AD34" s="62" t="str">
        <f>AD16</f>
        <v>Среднемесячно за 2-й год</v>
      </c>
      <c r="AE34" s="38" t="str">
        <f t="shared" ref="AE34:AP34" si="82">AE$6</f>
        <v>январь</v>
      </c>
      <c r="AF34" s="38" t="str">
        <f t="shared" si="82"/>
        <v>февраль</v>
      </c>
      <c r="AG34" s="38" t="str">
        <f t="shared" si="82"/>
        <v>март</v>
      </c>
      <c r="AH34" s="38" t="str">
        <f t="shared" si="82"/>
        <v>апрель</v>
      </c>
      <c r="AI34" s="38" t="str">
        <f t="shared" si="82"/>
        <v>май</v>
      </c>
      <c r="AJ34" s="38" t="str">
        <f t="shared" si="82"/>
        <v>июнь</v>
      </c>
      <c r="AK34" s="38" t="str">
        <f t="shared" si="82"/>
        <v>июль</v>
      </c>
      <c r="AL34" s="38" t="str">
        <f t="shared" si="82"/>
        <v>август</v>
      </c>
      <c r="AM34" s="38" t="str">
        <f t="shared" si="82"/>
        <v>сентябрь</v>
      </c>
      <c r="AN34" s="38" t="str">
        <f t="shared" si="82"/>
        <v>октябрь</v>
      </c>
      <c r="AO34" s="38" t="str">
        <f t="shared" si="82"/>
        <v>ноябрь</v>
      </c>
      <c r="AP34" s="38" t="str">
        <f t="shared" si="82"/>
        <v>декабрь</v>
      </c>
      <c r="AQ34" s="62" t="str">
        <f>AQ16</f>
        <v>Итого за 3-й год</v>
      </c>
      <c r="AR34" s="62" t="str">
        <f>AR16</f>
        <v>Среднемесячно за 3-й год</v>
      </c>
      <c r="AS34" s="62" t="str">
        <f>AS15</f>
        <v>Итого за три года</v>
      </c>
    </row>
    <row r="35" spans="1:54" s="52" customFormat="1" ht="12" thickTop="1">
      <c r="A35" s="64" t="str">
        <f>'Обобщенный расчет'!B18</f>
        <v>Ремонт помещения</v>
      </c>
      <c r="B35" s="48" t="str">
        <f>CHOOSE('Исходные данные'!$S$2,'Исходные данные'!$T$2,'Исходные данные'!$T$3,'Исходные данные'!$T$4,'Исходные данные'!$T$5)</f>
        <v>RUB</v>
      </c>
      <c r="C35" s="49">
        <f>'Обобщенный расчет'!G18</f>
        <v>30000</v>
      </c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50">
        <f>SUM(C35:N35)</f>
        <v>30000</v>
      </c>
      <c r="P35" s="50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50">
        <f t="shared" ref="AC35:AC43" si="83">SUM(Q35:AB35)</f>
        <v>0</v>
      </c>
      <c r="AD35" s="50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50">
        <f t="shared" ref="AQ35:AQ43" si="84">SUM(AE35:AP35)</f>
        <v>0</v>
      </c>
      <c r="AR35" s="50"/>
      <c r="AS35" s="45">
        <f t="shared" ref="AS35:AS43" si="85">O35+AC35+AQ35</f>
        <v>30000</v>
      </c>
      <c r="AT35" s="51"/>
      <c r="AX35" s="18"/>
      <c r="AY35" s="18"/>
      <c r="AZ35" s="18"/>
      <c r="BA35" s="18"/>
      <c r="BB35" s="18"/>
    </row>
    <row r="36" spans="1:54" s="47" customFormat="1" ht="11.25">
      <c r="A36" s="63" t="str">
        <f>'Обобщенный расчет'!B19</f>
        <v>Мебель и оборудование</v>
      </c>
      <c r="B36" s="42" t="str">
        <f>CHOOSE('Исходные данные'!$S$2,'Исходные данные'!$T$2,'Исходные данные'!$T$3,'Исходные данные'!$T$4,'Исходные данные'!$T$5)</f>
        <v>RUB</v>
      </c>
      <c r="C36" s="43">
        <f>'Обобщенный расчет'!G19</f>
        <v>25000</v>
      </c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4">
        <f t="shared" ref="O36:O42" si="86">SUM(C36:N36)</f>
        <v>25000</v>
      </c>
      <c r="P36" s="44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4">
        <f t="shared" ref="AC36:AC42" si="87">SUM(Q36:AB36)</f>
        <v>0</v>
      </c>
      <c r="AD36" s="44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4">
        <f t="shared" ref="AQ36:AQ42" si="88">SUM(AE36:AP36)</f>
        <v>0</v>
      </c>
      <c r="AR36" s="44"/>
      <c r="AS36" s="45">
        <f t="shared" ref="AS36:AS42" si="89">O36+AC36+AQ36</f>
        <v>25000</v>
      </c>
      <c r="AT36" s="46"/>
      <c r="AX36" s="18"/>
      <c r="AY36" s="18"/>
      <c r="AZ36" s="18"/>
      <c r="BA36" s="18"/>
      <c r="BB36" s="18"/>
    </row>
    <row r="37" spans="1:54" s="52" customFormat="1" ht="11.25">
      <c r="A37" s="64" t="str">
        <f>'Обобщенный расчет'!B20</f>
        <v>Офисная техника</v>
      </c>
      <c r="B37" s="48" t="str">
        <f>CHOOSE('Исходные данные'!$S$2,'Исходные данные'!$T$2,'Исходные данные'!$T$3,'Исходные данные'!$T$4,'Исходные данные'!$T$5)</f>
        <v>RUB</v>
      </c>
      <c r="C37" s="49">
        <f>'Обобщенный расчет'!G20</f>
        <v>8000</v>
      </c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50">
        <f>SUM(C37:N37)</f>
        <v>8000</v>
      </c>
      <c r="P37" s="50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50">
        <f t="shared" si="87"/>
        <v>0</v>
      </c>
      <c r="AD37" s="50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50">
        <f t="shared" si="88"/>
        <v>0</v>
      </c>
      <c r="AR37" s="50"/>
      <c r="AS37" s="45">
        <f t="shared" si="89"/>
        <v>8000</v>
      </c>
      <c r="AT37" s="51"/>
      <c r="AX37" s="18"/>
      <c r="AY37" s="18"/>
      <c r="AZ37" s="18"/>
      <c r="BA37" s="18"/>
      <c r="BB37" s="18"/>
    </row>
    <row r="38" spans="1:54" s="47" customFormat="1" ht="11.25">
      <c r="A38" s="63" t="str">
        <f>'Обобщенный расчет'!B21</f>
        <v>Компьютеры</v>
      </c>
      <c r="B38" s="42" t="str">
        <f>CHOOSE('Исходные данные'!$S$2,'Исходные данные'!$T$2,'Исходные данные'!$T$3,'Исходные данные'!$T$4,'Исходные данные'!$T$5)</f>
        <v>RUB</v>
      </c>
      <c r="C38" s="43">
        <f>'Обобщенный расчет'!G21</f>
        <v>15000</v>
      </c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4">
        <f t="shared" ref="O38:O39" si="90">SUM(C38:N38)</f>
        <v>15000</v>
      </c>
      <c r="P38" s="44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4">
        <f t="shared" ref="AC38:AC39" si="91">SUM(Q38:AB38)</f>
        <v>0</v>
      </c>
      <c r="AD38" s="44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4">
        <f t="shared" ref="AQ38:AQ39" si="92">SUM(AE38:AP38)</f>
        <v>0</v>
      </c>
      <c r="AR38" s="44"/>
      <c r="AS38" s="45">
        <f t="shared" ref="AS38:AS39" si="93">O38+AC38+AQ38</f>
        <v>15000</v>
      </c>
      <c r="AT38" s="46"/>
      <c r="AX38" s="18"/>
      <c r="AY38" s="18"/>
      <c r="AZ38" s="18"/>
      <c r="BA38" s="18"/>
      <c r="BB38" s="18"/>
    </row>
    <row r="39" spans="1:54" s="52" customFormat="1" ht="11.25">
      <c r="A39" s="64" t="str">
        <f>'Обобщенный расчет'!B22</f>
        <v>Оборудование</v>
      </c>
      <c r="B39" s="48" t="str">
        <f>CHOOSE('Исходные данные'!$S$2,'Исходные данные'!$T$2,'Исходные данные'!$T$3,'Исходные данные'!$T$4,'Исходные данные'!$T$5)</f>
        <v>RUB</v>
      </c>
      <c r="C39" s="49">
        <f>'Обобщенный расчет'!G22</f>
        <v>100000</v>
      </c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50">
        <f t="shared" si="90"/>
        <v>100000</v>
      </c>
      <c r="P39" s="50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50">
        <f t="shared" si="91"/>
        <v>0</v>
      </c>
      <c r="AD39" s="50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50">
        <f t="shared" si="92"/>
        <v>0</v>
      </c>
      <c r="AR39" s="50"/>
      <c r="AS39" s="45">
        <f t="shared" si="93"/>
        <v>100000</v>
      </c>
      <c r="AT39" s="51"/>
      <c r="AX39" s="18"/>
      <c r="AY39" s="18"/>
      <c r="AZ39" s="18"/>
      <c r="BA39" s="18"/>
      <c r="BB39" s="18"/>
    </row>
    <row r="40" spans="1:54" s="47" customFormat="1" ht="11.25">
      <c r="A40" s="63" t="str">
        <f>'Обобщенный расчет'!B23</f>
        <v>Видеонаблюдение</v>
      </c>
      <c r="B40" s="42" t="str">
        <f>CHOOSE('Исходные данные'!$S$2,'Исходные данные'!$T$2,'Исходные данные'!$T$3,'Исходные данные'!$T$4,'Исходные данные'!$T$5)</f>
        <v>RUB</v>
      </c>
      <c r="C40" s="43">
        <f>'Обобщенный расчет'!G23</f>
        <v>0</v>
      </c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4">
        <f t="shared" ref="O40" si="94">SUM(C40:N40)</f>
        <v>0</v>
      </c>
      <c r="P40" s="44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4">
        <f t="shared" si="87"/>
        <v>0</v>
      </c>
      <c r="AD40" s="44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4">
        <f t="shared" si="88"/>
        <v>0</v>
      </c>
      <c r="AR40" s="44"/>
      <c r="AS40" s="45">
        <f t="shared" ref="AS40" si="95">O40+AC40+AQ40</f>
        <v>0</v>
      </c>
      <c r="AT40" s="46"/>
    </row>
    <row r="41" spans="1:54" s="52" customFormat="1" ht="11.25">
      <c r="A41" s="64" t="str">
        <f>'Обобщенный расчет'!B24</f>
        <v>Сигнализация (охранная и пожарная)</v>
      </c>
      <c r="B41" s="48" t="str">
        <f>CHOOSE('Исходные данные'!$S$2,'Исходные данные'!$T$2,'Исходные данные'!$T$3,'Исходные данные'!$T$4,'Исходные данные'!$T$5)</f>
        <v>RUB</v>
      </c>
      <c r="C41" s="49">
        <f>'Обобщенный расчет'!G24</f>
        <v>0</v>
      </c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50">
        <f t="shared" si="86"/>
        <v>0</v>
      </c>
      <c r="P41" s="50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50">
        <f t="shared" si="87"/>
        <v>0</v>
      </c>
      <c r="AD41" s="50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50">
        <f t="shared" si="88"/>
        <v>0</v>
      </c>
      <c r="AR41" s="50"/>
      <c r="AS41" s="45">
        <f t="shared" si="89"/>
        <v>0</v>
      </c>
      <c r="AT41" s="51"/>
    </row>
    <row r="42" spans="1:54" s="47" customFormat="1" ht="11.25">
      <c r="A42" s="63" t="str">
        <f>'Обобщенный расчет'!B25</f>
        <v>Рекламная кампания</v>
      </c>
      <c r="B42" s="42" t="str">
        <f>CHOOSE('Исходные данные'!$S$2,'Исходные данные'!$T$2,'Исходные данные'!$T$3,'Исходные данные'!$T$4,'Исходные данные'!$T$5)</f>
        <v>RUB</v>
      </c>
      <c r="C42" s="43">
        <f>'Обобщенный расчет'!G25</f>
        <v>50000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4">
        <f t="shared" si="86"/>
        <v>50000</v>
      </c>
      <c r="P42" s="44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4">
        <f t="shared" si="87"/>
        <v>0</v>
      </c>
      <c r="AD42" s="44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4">
        <f t="shared" si="88"/>
        <v>0</v>
      </c>
      <c r="AR42" s="44"/>
      <c r="AS42" s="45">
        <f t="shared" si="89"/>
        <v>50000</v>
      </c>
      <c r="AT42" s="46"/>
    </row>
    <row r="43" spans="1:54" s="52" customFormat="1" ht="11.25">
      <c r="A43" s="64" t="str">
        <f>'Обобщенный расчет'!B26</f>
        <v>Паушальный взнос</v>
      </c>
      <c r="B43" s="48" t="str">
        <f>CHOOSE('Исходные данные'!$S$2,'Исходные данные'!$T$2,'Исходные данные'!$T$3,'Исходные данные'!$T$4,'Исходные данные'!$T$5)</f>
        <v>RUB</v>
      </c>
      <c r="C43" s="49">
        <f>'Обобщенный расчет'!G26</f>
        <v>200000</v>
      </c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50">
        <f t="shared" ref="O43" si="96">SUM(C43:N43)</f>
        <v>200000</v>
      </c>
      <c r="P43" s="50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50">
        <f t="shared" si="83"/>
        <v>0</v>
      </c>
      <c r="AD43" s="50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50">
        <f t="shared" si="84"/>
        <v>0</v>
      </c>
      <c r="AR43" s="50"/>
      <c r="AS43" s="45">
        <f t="shared" si="85"/>
        <v>200000</v>
      </c>
      <c r="AT43" s="51"/>
    </row>
    <row r="44" spans="1:54" s="47" customFormat="1" ht="11.25">
      <c r="A44" s="63" t="str">
        <f>'Обобщенный расчет'!B27</f>
        <v>Прочее</v>
      </c>
      <c r="B44" s="42" t="str">
        <f>CHOOSE('Исходные данные'!$S$2,'Исходные данные'!$T$2,'Исходные данные'!$T$3,'Исходные данные'!$T$4,'Исходные данные'!$T$5)</f>
        <v>RUB</v>
      </c>
      <c r="C44" s="43">
        <f>'Обобщенный расчет'!G27</f>
        <v>10000</v>
      </c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4">
        <f t="shared" ref="O44" si="97">SUM(C44:N44)</f>
        <v>10000</v>
      </c>
      <c r="P44" s="44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4">
        <f t="shared" ref="AC44" si="98">SUM(Q44:AB44)</f>
        <v>0</v>
      </c>
      <c r="AD44" s="44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4">
        <f t="shared" ref="AQ44" si="99">SUM(AE44:AP44)</f>
        <v>0</v>
      </c>
      <c r="AR44" s="44"/>
      <c r="AS44" s="45">
        <f t="shared" ref="AS44" si="100">O44+AC44+AQ44</f>
        <v>10000</v>
      </c>
      <c r="AT44" s="46"/>
    </row>
    <row r="45" spans="1:54" s="57" customFormat="1" ht="11.25">
      <c r="A45" s="53" t="s">
        <v>9</v>
      </c>
      <c r="B45" s="54" t="str">
        <f>CHOOSE('Исходные данные'!$S$2,'Исходные данные'!$T$2,'Исходные данные'!$T$3,'Исходные данные'!$T$4,'Исходные данные'!$T$5)</f>
        <v>RUB</v>
      </c>
      <c r="C45" s="55">
        <f t="shared" ref="C45:O45" si="101">SUM(C35:C44)</f>
        <v>438000</v>
      </c>
      <c r="D45" s="55">
        <f t="shared" si="101"/>
        <v>0</v>
      </c>
      <c r="E45" s="55">
        <f t="shared" si="101"/>
        <v>0</v>
      </c>
      <c r="F45" s="55">
        <f t="shared" si="101"/>
        <v>0</v>
      </c>
      <c r="G45" s="55">
        <f t="shared" si="101"/>
        <v>0</v>
      </c>
      <c r="H45" s="55">
        <f t="shared" si="101"/>
        <v>0</v>
      </c>
      <c r="I45" s="55">
        <f t="shared" si="101"/>
        <v>0</v>
      </c>
      <c r="J45" s="55">
        <f t="shared" si="101"/>
        <v>0</v>
      </c>
      <c r="K45" s="55">
        <f t="shared" si="101"/>
        <v>0</v>
      </c>
      <c r="L45" s="55">
        <f t="shared" si="101"/>
        <v>0</v>
      </c>
      <c r="M45" s="55">
        <f t="shared" si="101"/>
        <v>0</v>
      </c>
      <c r="N45" s="55">
        <f t="shared" si="101"/>
        <v>0</v>
      </c>
      <c r="O45" s="55">
        <f t="shared" si="101"/>
        <v>438000</v>
      </c>
      <c r="P45" s="55"/>
      <c r="Q45" s="55">
        <f t="shared" ref="Q45:AC45" si="102">SUM(Q35:Q44)</f>
        <v>0</v>
      </c>
      <c r="R45" s="55">
        <f t="shared" si="102"/>
        <v>0</v>
      </c>
      <c r="S45" s="55">
        <f t="shared" si="102"/>
        <v>0</v>
      </c>
      <c r="T45" s="55">
        <f t="shared" si="102"/>
        <v>0</v>
      </c>
      <c r="U45" s="55">
        <f t="shared" si="102"/>
        <v>0</v>
      </c>
      <c r="V45" s="55">
        <f t="shared" si="102"/>
        <v>0</v>
      </c>
      <c r="W45" s="55">
        <f t="shared" si="102"/>
        <v>0</v>
      </c>
      <c r="X45" s="55">
        <f t="shared" si="102"/>
        <v>0</v>
      </c>
      <c r="Y45" s="55">
        <f t="shared" si="102"/>
        <v>0</v>
      </c>
      <c r="Z45" s="55">
        <f t="shared" si="102"/>
        <v>0</v>
      </c>
      <c r="AA45" s="55">
        <f t="shared" si="102"/>
        <v>0</v>
      </c>
      <c r="AB45" s="55">
        <f t="shared" si="102"/>
        <v>0</v>
      </c>
      <c r="AC45" s="55">
        <f t="shared" si="102"/>
        <v>0</v>
      </c>
      <c r="AD45" s="55"/>
      <c r="AE45" s="55">
        <f t="shared" ref="AE45:AQ45" si="103">SUM(AE35:AE44)</f>
        <v>0</v>
      </c>
      <c r="AF45" s="55">
        <f t="shared" si="103"/>
        <v>0</v>
      </c>
      <c r="AG45" s="55">
        <f t="shared" si="103"/>
        <v>0</v>
      </c>
      <c r="AH45" s="55">
        <f t="shared" si="103"/>
        <v>0</v>
      </c>
      <c r="AI45" s="55">
        <f t="shared" si="103"/>
        <v>0</v>
      </c>
      <c r="AJ45" s="55">
        <f t="shared" si="103"/>
        <v>0</v>
      </c>
      <c r="AK45" s="55">
        <f t="shared" si="103"/>
        <v>0</v>
      </c>
      <c r="AL45" s="55">
        <f t="shared" si="103"/>
        <v>0</v>
      </c>
      <c r="AM45" s="55">
        <f t="shared" si="103"/>
        <v>0</v>
      </c>
      <c r="AN45" s="55">
        <f t="shared" si="103"/>
        <v>0</v>
      </c>
      <c r="AO45" s="55">
        <f t="shared" si="103"/>
        <v>0</v>
      </c>
      <c r="AP45" s="55">
        <f t="shared" si="103"/>
        <v>0</v>
      </c>
      <c r="AQ45" s="55">
        <f t="shared" si="103"/>
        <v>0</v>
      </c>
      <c r="AR45" s="55"/>
      <c r="AS45" s="67">
        <f>O45+AC45+AQ45</f>
        <v>438000</v>
      </c>
      <c r="AT45" s="56"/>
    </row>
    <row r="46" spans="1:54" s="57" customFormat="1" ht="12" thickBot="1">
      <c r="A46" s="226"/>
      <c r="B46" s="42"/>
      <c r="C46" s="227"/>
      <c r="D46" s="227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7"/>
      <c r="AJ46" s="227"/>
      <c r="AK46" s="227"/>
      <c r="AL46" s="227"/>
      <c r="AM46" s="227"/>
      <c r="AN46" s="227"/>
      <c r="AO46" s="227"/>
      <c r="AP46" s="227"/>
      <c r="AQ46" s="227"/>
      <c r="AR46" s="227"/>
      <c r="AS46" s="228"/>
      <c r="AT46" s="56"/>
    </row>
    <row r="47" spans="1:54" s="72" customFormat="1" ht="12" hidden="1" thickBot="1">
      <c r="A47" s="68" t="s">
        <v>160</v>
      </c>
      <c r="B47" s="69"/>
      <c r="C47" s="70">
        <f>C23-C32-(SUM(C49:C63)+C65)</f>
        <v>-22950</v>
      </c>
      <c r="D47" s="70">
        <f t="shared" ref="D47:N47" si="104">D23-D32-(SUM(D49:D63)+D65)</f>
        <v>22150</v>
      </c>
      <c r="E47" s="70">
        <f t="shared" si="104"/>
        <v>169850</v>
      </c>
      <c r="F47" s="70">
        <f t="shared" si="104"/>
        <v>25050</v>
      </c>
      <c r="G47" s="70">
        <f t="shared" si="104"/>
        <v>61050</v>
      </c>
      <c r="H47" s="70">
        <f t="shared" si="104"/>
        <v>203550</v>
      </c>
      <c r="I47" s="70">
        <f t="shared" si="104"/>
        <v>25050</v>
      </c>
      <c r="J47" s="70">
        <f t="shared" si="104"/>
        <v>61050</v>
      </c>
      <c r="K47" s="70">
        <f t="shared" si="104"/>
        <v>203550</v>
      </c>
      <c r="L47" s="70">
        <f t="shared" si="104"/>
        <v>25050</v>
      </c>
      <c r="M47" s="70">
        <f t="shared" si="104"/>
        <v>61050</v>
      </c>
      <c r="N47" s="70">
        <f t="shared" si="104"/>
        <v>203550</v>
      </c>
      <c r="O47" s="70"/>
      <c r="P47" s="70"/>
      <c r="Q47" s="70">
        <f>Q23-Q32-(SUM(Q49:Q63)+Q65)</f>
        <v>37520</v>
      </c>
      <c r="R47" s="70">
        <f t="shared" ref="R47:AB47" si="105">R23-R32-(SUM(R49:R63)+R65)</f>
        <v>80420</v>
      </c>
      <c r="S47" s="70">
        <f t="shared" si="105"/>
        <v>251420</v>
      </c>
      <c r="T47" s="70">
        <f t="shared" si="105"/>
        <v>37520</v>
      </c>
      <c r="U47" s="70">
        <f t="shared" si="105"/>
        <v>80420</v>
      </c>
      <c r="V47" s="70">
        <f t="shared" si="105"/>
        <v>251420</v>
      </c>
      <c r="W47" s="70">
        <f t="shared" si="105"/>
        <v>37520</v>
      </c>
      <c r="X47" s="70">
        <f t="shared" si="105"/>
        <v>80420</v>
      </c>
      <c r="Y47" s="70">
        <f t="shared" si="105"/>
        <v>251420</v>
      </c>
      <c r="Z47" s="70">
        <f t="shared" si="105"/>
        <v>37520</v>
      </c>
      <c r="AA47" s="70">
        <f t="shared" si="105"/>
        <v>80420</v>
      </c>
      <c r="AB47" s="70">
        <f t="shared" si="105"/>
        <v>251420</v>
      </c>
      <c r="AC47" s="70"/>
      <c r="AD47" s="70"/>
      <c r="AE47" s="70">
        <f>AE23-AE32-(SUM(AE49:AE63)+AE65)</f>
        <v>49990</v>
      </c>
      <c r="AF47" s="70">
        <f t="shared" ref="AF47:AP47" si="106">AF23-AF32-(SUM(AF49:AF63)+AF65)</f>
        <v>99790</v>
      </c>
      <c r="AG47" s="70">
        <f t="shared" si="106"/>
        <v>299290</v>
      </c>
      <c r="AH47" s="70">
        <f t="shared" si="106"/>
        <v>49990</v>
      </c>
      <c r="AI47" s="70">
        <f t="shared" si="106"/>
        <v>99790</v>
      </c>
      <c r="AJ47" s="70">
        <f t="shared" si="106"/>
        <v>299290</v>
      </c>
      <c r="AK47" s="70">
        <f t="shared" si="106"/>
        <v>49990</v>
      </c>
      <c r="AL47" s="70">
        <f t="shared" si="106"/>
        <v>99790</v>
      </c>
      <c r="AM47" s="70">
        <f t="shared" si="106"/>
        <v>299290</v>
      </c>
      <c r="AN47" s="70">
        <f t="shared" si="106"/>
        <v>49990</v>
      </c>
      <c r="AO47" s="70">
        <f t="shared" si="106"/>
        <v>99790</v>
      </c>
      <c r="AP47" s="70">
        <f t="shared" si="106"/>
        <v>299290</v>
      </c>
      <c r="AQ47" s="70"/>
      <c r="AR47" s="70"/>
      <c r="AS47" s="71"/>
    </row>
    <row r="48" spans="1:54" s="18" customFormat="1" ht="24" thickTop="1" thickBot="1">
      <c r="A48" s="25" t="s">
        <v>8</v>
      </c>
      <c r="B48" s="66"/>
      <c r="C48" s="38" t="str">
        <f t="shared" ref="C48:N48" si="107">C$6</f>
        <v>январь</v>
      </c>
      <c r="D48" s="38" t="str">
        <f t="shared" si="107"/>
        <v>февраль</v>
      </c>
      <c r="E48" s="38" t="str">
        <f t="shared" si="107"/>
        <v>март</v>
      </c>
      <c r="F48" s="38" t="str">
        <f t="shared" si="107"/>
        <v>апрель</v>
      </c>
      <c r="G48" s="38" t="str">
        <f t="shared" si="107"/>
        <v>май</v>
      </c>
      <c r="H48" s="38" t="str">
        <f t="shared" si="107"/>
        <v>июнь</v>
      </c>
      <c r="I48" s="38" t="str">
        <f t="shared" si="107"/>
        <v>июль</v>
      </c>
      <c r="J48" s="38" t="str">
        <f t="shared" si="107"/>
        <v>август</v>
      </c>
      <c r="K48" s="38" t="str">
        <f t="shared" si="107"/>
        <v>сентябрь</v>
      </c>
      <c r="L48" s="38" t="str">
        <f t="shared" si="107"/>
        <v>октябрь</v>
      </c>
      <c r="M48" s="38" t="str">
        <f t="shared" si="107"/>
        <v>ноябрь</v>
      </c>
      <c r="N48" s="38" t="str">
        <f t="shared" si="107"/>
        <v>декабрь</v>
      </c>
      <c r="O48" s="62" t="str">
        <f>O34</f>
        <v>Итого за 1-й год</v>
      </c>
      <c r="P48" s="62" t="str">
        <f>P34</f>
        <v>Среднемесячно за 1-й год</v>
      </c>
      <c r="Q48" s="38" t="str">
        <f t="shared" ref="Q48:AB48" si="108">Q$6</f>
        <v>январь</v>
      </c>
      <c r="R48" s="38" t="str">
        <f t="shared" si="108"/>
        <v>февраль</v>
      </c>
      <c r="S48" s="38" t="str">
        <f t="shared" si="108"/>
        <v>март</v>
      </c>
      <c r="T48" s="38" t="str">
        <f t="shared" si="108"/>
        <v>апрель</v>
      </c>
      <c r="U48" s="38" t="str">
        <f t="shared" si="108"/>
        <v>май</v>
      </c>
      <c r="V48" s="38" t="str">
        <f t="shared" si="108"/>
        <v>июнь</v>
      </c>
      <c r="W48" s="38" t="str">
        <f t="shared" si="108"/>
        <v>июль</v>
      </c>
      <c r="X48" s="38" t="str">
        <f t="shared" si="108"/>
        <v>август</v>
      </c>
      <c r="Y48" s="38" t="str">
        <f t="shared" si="108"/>
        <v>сентябрь</v>
      </c>
      <c r="Z48" s="38" t="str">
        <f t="shared" si="108"/>
        <v>октябрь</v>
      </c>
      <c r="AA48" s="38" t="str">
        <f t="shared" si="108"/>
        <v>ноябрь</v>
      </c>
      <c r="AB48" s="38" t="str">
        <f t="shared" si="108"/>
        <v>декабрь</v>
      </c>
      <c r="AC48" s="62" t="str">
        <f>AC34</f>
        <v>Итого за 2-й год</v>
      </c>
      <c r="AD48" s="62" t="str">
        <f>AD34</f>
        <v>Среднемесячно за 2-й год</v>
      </c>
      <c r="AE48" s="38" t="str">
        <f t="shared" ref="AE48:AP48" si="109">AE$6</f>
        <v>январь</v>
      </c>
      <c r="AF48" s="38" t="str">
        <f t="shared" si="109"/>
        <v>февраль</v>
      </c>
      <c r="AG48" s="38" t="str">
        <f t="shared" si="109"/>
        <v>март</v>
      </c>
      <c r="AH48" s="38" t="str">
        <f t="shared" si="109"/>
        <v>апрель</v>
      </c>
      <c r="AI48" s="38" t="str">
        <f t="shared" si="109"/>
        <v>май</v>
      </c>
      <c r="AJ48" s="38" t="str">
        <f t="shared" si="109"/>
        <v>июнь</v>
      </c>
      <c r="AK48" s="38" t="str">
        <f t="shared" si="109"/>
        <v>июль</v>
      </c>
      <c r="AL48" s="38" t="str">
        <f t="shared" si="109"/>
        <v>август</v>
      </c>
      <c r="AM48" s="38" t="str">
        <f t="shared" si="109"/>
        <v>сентябрь</v>
      </c>
      <c r="AN48" s="38" t="str">
        <f t="shared" si="109"/>
        <v>октябрь</v>
      </c>
      <c r="AO48" s="38" t="str">
        <f t="shared" si="109"/>
        <v>ноябрь</v>
      </c>
      <c r="AP48" s="38" t="str">
        <f t="shared" si="109"/>
        <v>декабрь</v>
      </c>
      <c r="AQ48" s="62" t="str">
        <f>AQ34</f>
        <v>Итого за 3-й год</v>
      </c>
      <c r="AR48" s="62" t="str">
        <f>AR34</f>
        <v>Среднемесячно за 3-й год</v>
      </c>
      <c r="AS48" s="73" t="str">
        <f>AS34</f>
        <v>Итого за три года</v>
      </c>
    </row>
    <row r="49" spans="1:46" s="52" customFormat="1" ht="12" thickTop="1">
      <c r="A49" s="64" t="str">
        <f>'Обобщенный расчет'!B34</f>
        <v>Зарплата персонала</v>
      </c>
      <c r="B49" s="48" t="str">
        <f>CHOOSE('Исходные данные'!$S$2,'Исходные данные'!$T$2,'Исходные данные'!$T$3,'Исходные данные'!$T$4,'Исходные данные'!$T$5)</f>
        <v>RUB</v>
      </c>
      <c r="C49" s="49">
        <f>C9*('Исходные данные'!$D$55*'Исходные данные'!$H$55+'Исходные данные'!$D$56*'Исходные данные'!$H$56+'Исходные данные'!$D$57*'Исходные данные'!$H$57+'Исходные данные'!$D$58*'Исходные данные'!$H$58+'Исходные данные'!$D$59*'Исходные данные'!$H$59)+('Исходные данные'!$K$55+'Исходные данные'!$K$56+'Исходные данные'!$K$57+'Исходные данные'!$K$58+'Исходные данные'!$K$59)*'Детальный расчет'!C23</f>
        <v>75000</v>
      </c>
      <c r="D49" s="49">
        <f>D9*('Исходные данные'!$D$55*'Исходные данные'!$H$55+'Исходные данные'!$D$56*'Исходные данные'!$H$56+'Исходные данные'!$D$57*'Исходные данные'!$H$57+'Исходные данные'!$D$58*'Исходные данные'!$H$58+'Исходные данные'!$D$59*'Исходные данные'!$H$59)+('Исходные данные'!$K$55+'Исходные данные'!$K$56+'Исходные данные'!$K$57+'Исходные данные'!$K$58+'Исходные данные'!$K$59)*'Детальный расчет'!D23</f>
        <v>75000</v>
      </c>
      <c r="E49" s="49">
        <f>E9*('Исходные данные'!$D$55*'Исходные данные'!$H$55+'Исходные данные'!$D$56*'Исходные данные'!$H$56+'Исходные данные'!$D$57*'Исходные данные'!$H$57+'Исходные данные'!$D$58*'Исходные данные'!$H$58+'Исходные данные'!$D$59*'Исходные данные'!$H$59)+('Исходные данные'!$K$55+'Исходные данные'!$K$56+'Исходные данные'!$K$57+'Исходные данные'!$K$58+'Исходные данные'!$K$59)*'Детальный расчет'!E23</f>
        <v>75000</v>
      </c>
      <c r="F49" s="49">
        <f>F9*('Исходные данные'!$D$55*'Исходные данные'!$H$55+'Исходные данные'!$D$56*'Исходные данные'!$H$56+'Исходные данные'!$D$57*'Исходные данные'!$H$57+'Исходные данные'!$D$58*'Исходные данные'!$H$58+'Исходные данные'!$D$59*'Исходные данные'!$H$59)+('Исходные данные'!$K$55+'Исходные данные'!$K$56+'Исходные данные'!$K$57+'Исходные данные'!$K$58+'Исходные данные'!$K$59)*'Детальный расчет'!F23</f>
        <v>75000</v>
      </c>
      <c r="G49" s="49">
        <f>G9*('Исходные данные'!$D$55*'Исходные данные'!$H$55+'Исходные данные'!$D$56*'Исходные данные'!$H$56+'Исходные данные'!$D$57*'Исходные данные'!$H$57+'Исходные данные'!$D$58*'Исходные данные'!$H$58+'Исходные данные'!$D$59*'Исходные данные'!$H$59)+('Исходные данные'!$K$55+'Исходные данные'!$K$56+'Исходные данные'!$K$57+'Исходные данные'!$K$58+'Исходные данные'!$K$59)*'Детальный расчет'!G23</f>
        <v>75000</v>
      </c>
      <c r="H49" s="49">
        <f>H9*('Исходные данные'!$D$55*'Исходные данные'!$H$55+'Исходные данные'!$D$56*'Исходные данные'!$H$56+'Исходные данные'!$D$57*'Исходные данные'!$H$57+'Исходные данные'!$D$58*'Исходные данные'!$H$58+'Исходные данные'!$D$59*'Исходные данные'!$H$59)+('Исходные данные'!$K$55+'Исходные данные'!$K$56+'Исходные данные'!$K$57+'Исходные данные'!$K$58+'Исходные данные'!$K$59)*'Детальный расчет'!H23</f>
        <v>75000</v>
      </c>
      <c r="I49" s="49">
        <f>I9*('Исходные данные'!$D$55*'Исходные данные'!$H$55+'Исходные данные'!$D$56*'Исходные данные'!$H$56+'Исходные данные'!$D$57*'Исходные данные'!$H$57+'Исходные данные'!$D$58*'Исходные данные'!$H$58+'Исходные данные'!$D$59*'Исходные данные'!$H$59)+('Исходные данные'!$K$55+'Исходные данные'!$K$56+'Исходные данные'!$K$57+'Исходные данные'!$K$58+'Исходные данные'!$K$59)*'Детальный расчет'!I23</f>
        <v>75000</v>
      </c>
      <c r="J49" s="49">
        <f>J9*('Исходные данные'!$D$55*'Исходные данные'!$H$55+'Исходные данные'!$D$56*'Исходные данные'!$H$56+'Исходные данные'!$D$57*'Исходные данные'!$H$57+'Исходные данные'!$D$58*'Исходные данные'!$H$58+'Исходные данные'!$D$59*'Исходные данные'!$H$59)+('Исходные данные'!$K$55+'Исходные данные'!$K$56+'Исходные данные'!$K$57+'Исходные данные'!$K$58+'Исходные данные'!$K$59)*'Детальный расчет'!J23</f>
        <v>75000</v>
      </c>
      <c r="K49" s="49">
        <f>K9*('Исходные данные'!$D$55*'Исходные данные'!$H$55+'Исходные данные'!$D$56*'Исходные данные'!$H$56+'Исходные данные'!$D$57*'Исходные данные'!$H$57+'Исходные данные'!$D$58*'Исходные данные'!$H$58+'Исходные данные'!$D$59*'Исходные данные'!$H$59)+('Исходные данные'!$K$55+'Исходные данные'!$K$56+'Исходные данные'!$K$57+'Исходные данные'!$K$58+'Исходные данные'!$K$59)*'Детальный расчет'!K23</f>
        <v>75000</v>
      </c>
      <c r="L49" s="49">
        <f>L9*('Исходные данные'!$D$55*'Исходные данные'!$H$55+'Исходные данные'!$D$56*'Исходные данные'!$H$56+'Исходные данные'!$D$57*'Исходные данные'!$H$57+'Исходные данные'!$D$58*'Исходные данные'!$H$58+'Исходные данные'!$D$59*'Исходные данные'!$H$59)+('Исходные данные'!$K$55+'Исходные данные'!$K$56+'Исходные данные'!$K$57+'Исходные данные'!$K$58+'Исходные данные'!$K$59)*'Детальный расчет'!L23</f>
        <v>75000</v>
      </c>
      <c r="M49" s="49">
        <f>M9*('Исходные данные'!$D$55*'Исходные данные'!$H$55+'Исходные данные'!$D$56*'Исходные данные'!$H$56+'Исходные данные'!$D$57*'Исходные данные'!$H$57+'Исходные данные'!$D$58*'Исходные данные'!$H$58+'Исходные данные'!$D$59*'Исходные данные'!$H$59)+('Исходные данные'!$K$55+'Исходные данные'!$K$56+'Исходные данные'!$K$57+'Исходные данные'!$K$58+'Исходные данные'!$K$59)*'Детальный расчет'!M23</f>
        <v>75000</v>
      </c>
      <c r="N49" s="49">
        <f>N9*('Исходные данные'!$D$55*'Исходные данные'!$H$55+'Исходные данные'!$D$56*'Исходные данные'!$H$56+'Исходные данные'!$D$57*'Исходные данные'!$H$57+'Исходные данные'!$D$58*'Исходные данные'!$H$58+'Исходные данные'!$D$59*'Исходные данные'!$H$59)+('Исходные данные'!$K$55+'Исходные данные'!$K$56+'Исходные данные'!$K$57+'Исходные данные'!$K$58+'Исходные данные'!$K$59)*'Детальный расчет'!N23</f>
        <v>75000</v>
      </c>
      <c r="O49" s="50">
        <f t="shared" ref="O49:O55" si="110">SUM(C49:N49)</f>
        <v>900000</v>
      </c>
      <c r="P49" s="50">
        <f t="shared" ref="P49:P55" si="111">O49/12</f>
        <v>75000</v>
      </c>
      <c r="Q49" s="49">
        <f>Q9*('Исходные данные'!$D$55*'Исходные данные'!$H$55+'Исходные данные'!$D$56*'Исходные данные'!$H$56+'Исходные данные'!$D$57*'Исходные данные'!$H$57+'Исходные данные'!$D$58*'Исходные данные'!$H$58+'Исходные данные'!$D$59*'Исходные данные'!$H$59)+('Исходные данные'!$K$55+'Исходные данные'!$K$56+'Исходные данные'!$K$57+'Исходные данные'!$K$58+'Исходные данные'!$K$59)*'Детальный расчет'!Q23</f>
        <v>90000</v>
      </c>
      <c r="R49" s="49">
        <f>R9*('Исходные данные'!$D$55*'Исходные данные'!$H$55+'Исходные данные'!$D$56*'Исходные данные'!$H$56+'Исходные данные'!$D$57*'Исходные данные'!$H$57+'Исходные данные'!$D$58*'Исходные данные'!$H$58+'Исходные данные'!$D$59*'Исходные данные'!$H$59)+('Исходные данные'!$K$55+'Исходные данные'!$K$56+'Исходные данные'!$K$57+'Исходные данные'!$K$58+'Исходные данные'!$K$59)*'Детальный расчет'!R23</f>
        <v>90000</v>
      </c>
      <c r="S49" s="49">
        <f>S9*('Исходные данные'!$D$55*'Исходные данные'!$H$55+'Исходные данные'!$D$56*'Исходные данные'!$H$56+'Исходные данные'!$D$57*'Исходные данные'!$H$57+'Исходные данные'!$D$58*'Исходные данные'!$H$58+'Исходные данные'!$D$59*'Исходные данные'!$H$59)+('Исходные данные'!$K$55+'Исходные данные'!$K$56+'Исходные данные'!$K$57+'Исходные данные'!$K$58+'Исходные данные'!$K$59)*'Детальный расчет'!S23</f>
        <v>90000</v>
      </c>
      <c r="T49" s="49">
        <f>T9*('Исходные данные'!$D$55*'Исходные данные'!$H$55+'Исходные данные'!$D$56*'Исходные данные'!$H$56+'Исходные данные'!$D$57*'Исходные данные'!$H$57+'Исходные данные'!$D$58*'Исходные данные'!$H$58+'Исходные данные'!$D$59*'Исходные данные'!$H$59)+('Исходные данные'!$K$55+'Исходные данные'!$K$56+'Исходные данные'!$K$57+'Исходные данные'!$K$58+'Исходные данные'!$K$59)*'Детальный расчет'!T23</f>
        <v>90000</v>
      </c>
      <c r="U49" s="49">
        <f>U9*('Исходные данные'!$D$55*'Исходные данные'!$H$55+'Исходные данные'!$D$56*'Исходные данные'!$H$56+'Исходные данные'!$D$57*'Исходные данные'!$H$57+'Исходные данные'!$D$58*'Исходные данные'!$H$58+'Исходные данные'!$D$59*'Исходные данные'!$H$59)+('Исходные данные'!$K$55+'Исходные данные'!$K$56+'Исходные данные'!$K$57+'Исходные данные'!$K$58+'Исходные данные'!$K$59)*'Детальный расчет'!U23</f>
        <v>90000</v>
      </c>
      <c r="V49" s="49">
        <f>V9*('Исходные данные'!$D$55*'Исходные данные'!$H$55+'Исходные данные'!$D$56*'Исходные данные'!$H$56+'Исходные данные'!$D$57*'Исходные данные'!$H$57+'Исходные данные'!$D$58*'Исходные данные'!$H$58+'Исходные данные'!$D$59*'Исходные данные'!$H$59)+('Исходные данные'!$K$55+'Исходные данные'!$K$56+'Исходные данные'!$K$57+'Исходные данные'!$K$58+'Исходные данные'!$K$59)*'Детальный расчет'!V23</f>
        <v>90000</v>
      </c>
      <c r="W49" s="49">
        <f>W9*('Исходные данные'!$D$55*'Исходные данные'!$H$55+'Исходные данные'!$D$56*'Исходные данные'!$H$56+'Исходные данные'!$D$57*'Исходные данные'!$H$57+'Исходные данные'!$D$58*'Исходные данные'!$H$58+'Исходные данные'!$D$59*'Исходные данные'!$H$59)+('Исходные данные'!$K$55+'Исходные данные'!$K$56+'Исходные данные'!$K$57+'Исходные данные'!$K$58+'Исходные данные'!$K$59)*'Детальный расчет'!W23</f>
        <v>90000</v>
      </c>
      <c r="X49" s="49">
        <f>X9*('Исходные данные'!$D$55*'Исходные данные'!$H$55+'Исходные данные'!$D$56*'Исходные данные'!$H$56+'Исходные данные'!$D$57*'Исходные данные'!$H$57+'Исходные данные'!$D$58*'Исходные данные'!$H$58+'Исходные данные'!$D$59*'Исходные данные'!$H$59)+('Исходные данные'!$K$55+'Исходные данные'!$K$56+'Исходные данные'!$K$57+'Исходные данные'!$K$58+'Исходные данные'!$K$59)*'Детальный расчет'!X23</f>
        <v>90000</v>
      </c>
      <c r="Y49" s="49">
        <f>Y9*('Исходные данные'!$D$55*'Исходные данные'!$H$55+'Исходные данные'!$D$56*'Исходные данные'!$H$56+'Исходные данные'!$D$57*'Исходные данные'!$H$57+'Исходные данные'!$D$58*'Исходные данные'!$H$58+'Исходные данные'!$D$59*'Исходные данные'!$H$59)+('Исходные данные'!$K$55+'Исходные данные'!$K$56+'Исходные данные'!$K$57+'Исходные данные'!$K$58+'Исходные данные'!$K$59)*'Детальный расчет'!Y23</f>
        <v>90000</v>
      </c>
      <c r="Z49" s="49">
        <f>Z9*('Исходные данные'!$D$55*'Исходные данные'!$H$55+'Исходные данные'!$D$56*'Исходные данные'!$H$56+'Исходные данные'!$D$57*'Исходные данные'!$H$57+'Исходные данные'!$D$58*'Исходные данные'!$H$58+'Исходные данные'!$D$59*'Исходные данные'!$H$59)+('Исходные данные'!$K$55+'Исходные данные'!$K$56+'Исходные данные'!$K$57+'Исходные данные'!$K$58+'Исходные данные'!$K$59)*'Детальный расчет'!Z23</f>
        <v>90000</v>
      </c>
      <c r="AA49" s="49">
        <f>AA9*('Исходные данные'!$D$55*'Исходные данные'!$H$55+'Исходные данные'!$D$56*'Исходные данные'!$H$56+'Исходные данные'!$D$57*'Исходные данные'!$H$57+'Исходные данные'!$D$58*'Исходные данные'!$H$58+'Исходные данные'!$D$59*'Исходные данные'!$H$59)+('Исходные данные'!$K$55+'Исходные данные'!$K$56+'Исходные данные'!$K$57+'Исходные данные'!$K$58+'Исходные данные'!$K$59)*'Детальный расчет'!AA23</f>
        <v>90000</v>
      </c>
      <c r="AB49" s="49">
        <f>AB9*('Исходные данные'!$D$55*'Исходные данные'!$H$55+'Исходные данные'!$D$56*'Исходные данные'!$H$56+'Исходные данные'!$D$57*'Исходные данные'!$H$57+'Исходные данные'!$D$58*'Исходные данные'!$H$58+'Исходные данные'!$D$59*'Исходные данные'!$H$59)+('Исходные данные'!$K$55+'Исходные данные'!$K$56+'Исходные данные'!$K$57+'Исходные данные'!$K$58+'Исходные данные'!$K$59)*'Детальный расчет'!AB23</f>
        <v>90000</v>
      </c>
      <c r="AC49" s="50">
        <f t="shared" ref="AC49:AC55" si="112">SUM(Q49:AB49)</f>
        <v>1080000</v>
      </c>
      <c r="AD49" s="50">
        <f t="shared" ref="AD49:AD55" si="113">AC49/12</f>
        <v>90000</v>
      </c>
      <c r="AE49" s="49">
        <f>AE9*('Исходные данные'!$D$55*'Исходные данные'!$H$55+'Исходные данные'!$D$56*'Исходные данные'!$H$56+'Исходные данные'!$D$57*'Исходные данные'!$H$57+'Исходные данные'!$D$58*'Исходные данные'!$H$58+'Исходные данные'!$D$59*'Исходные данные'!$H$59)+('Исходные данные'!$K$55+'Исходные данные'!$K$56+'Исходные данные'!$K$57+'Исходные данные'!$K$58+'Исходные данные'!$K$59)*'Детальный расчет'!AE23</f>
        <v>105000</v>
      </c>
      <c r="AF49" s="49">
        <f>AF9*('Исходные данные'!$D$55*'Исходные данные'!$H$55+'Исходные данные'!$D$56*'Исходные данные'!$H$56+'Исходные данные'!$D$57*'Исходные данные'!$H$57+'Исходные данные'!$D$58*'Исходные данные'!$H$58+'Исходные данные'!$D$59*'Исходные данные'!$H$59)+('Исходные данные'!$K$55+'Исходные данные'!$K$56+'Исходные данные'!$K$57+'Исходные данные'!$K$58+'Исходные данные'!$K$59)*'Детальный расчет'!AF23</f>
        <v>105000</v>
      </c>
      <c r="AG49" s="49">
        <f>AG9*('Исходные данные'!$D$55*'Исходные данные'!$H$55+'Исходные данные'!$D$56*'Исходные данные'!$H$56+'Исходные данные'!$D$57*'Исходные данные'!$H$57+'Исходные данные'!$D$58*'Исходные данные'!$H$58+'Исходные данные'!$D$59*'Исходные данные'!$H$59)+('Исходные данные'!$K$55+'Исходные данные'!$K$56+'Исходные данные'!$K$57+'Исходные данные'!$K$58+'Исходные данные'!$K$59)*'Детальный расчет'!AG23</f>
        <v>105000</v>
      </c>
      <c r="AH49" s="49">
        <f>AH9*('Исходные данные'!$D$55*'Исходные данные'!$H$55+'Исходные данные'!$D$56*'Исходные данные'!$H$56+'Исходные данные'!$D$57*'Исходные данные'!$H$57+'Исходные данные'!$D$58*'Исходные данные'!$H$58+'Исходные данные'!$D$59*'Исходные данные'!$H$59)+('Исходные данные'!$K$55+'Исходные данные'!$K$56+'Исходные данные'!$K$57+'Исходные данные'!$K$58+'Исходные данные'!$K$59)*'Детальный расчет'!AH23</f>
        <v>105000</v>
      </c>
      <c r="AI49" s="49">
        <f>AI9*('Исходные данные'!$D$55*'Исходные данные'!$H$55+'Исходные данные'!$D$56*'Исходные данные'!$H$56+'Исходные данные'!$D$57*'Исходные данные'!$H$57+'Исходные данные'!$D$58*'Исходные данные'!$H$58+'Исходные данные'!$D$59*'Исходные данные'!$H$59)+('Исходные данные'!$K$55+'Исходные данные'!$K$56+'Исходные данные'!$K$57+'Исходные данные'!$K$58+'Исходные данные'!$K$59)*'Детальный расчет'!AI23</f>
        <v>105000</v>
      </c>
      <c r="AJ49" s="49">
        <f>AJ9*('Исходные данные'!$D$55*'Исходные данные'!$H$55+'Исходные данные'!$D$56*'Исходные данные'!$H$56+'Исходные данные'!$D$57*'Исходные данные'!$H$57+'Исходные данные'!$D$58*'Исходные данные'!$H$58+'Исходные данные'!$D$59*'Исходные данные'!$H$59)+('Исходные данные'!$K$55+'Исходные данные'!$K$56+'Исходные данные'!$K$57+'Исходные данные'!$K$58+'Исходные данные'!$K$59)*'Детальный расчет'!AJ23</f>
        <v>105000</v>
      </c>
      <c r="AK49" s="49">
        <f>AK9*('Исходные данные'!$D$55*'Исходные данные'!$H$55+'Исходные данные'!$D$56*'Исходные данные'!$H$56+'Исходные данные'!$D$57*'Исходные данные'!$H$57+'Исходные данные'!$D$58*'Исходные данные'!$H$58+'Исходные данные'!$D$59*'Исходные данные'!$H$59)+('Исходные данные'!$K$55+'Исходные данные'!$K$56+'Исходные данные'!$K$57+'Исходные данные'!$K$58+'Исходные данные'!$K$59)*'Детальный расчет'!AK23</f>
        <v>105000</v>
      </c>
      <c r="AL49" s="49">
        <f>AL9*('Исходные данные'!$D$55*'Исходные данные'!$H$55+'Исходные данные'!$D$56*'Исходные данные'!$H$56+'Исходные данные'!$D$57*'Исходные данные'!$H$57+'Исходные данные'!$D$58*'Исходные данные'!$H$58+'Исходные данные'!$D$59*'Исходные данные'!$H$59)+('Исходные данные'!$K$55+'Исходные данные'!$K$56+'Исходные данные'!$K$57+'Исходные данные'!$K$58+'Исходные данные'!$K$59)*'Детальный расчет'!AL23</f>
        <v>105000</v>
      </c>
      <c r="AM49" s="49">
        <f>AM9*('Исходные данные'!$D$55*'Исходные данные'!$H$55+'Исходные данные'!$D$56*'Исходные данные'!$H$56+'Исходные данные'!$D$57*'Исходные данные'!$H$57+'Исходные данные'!$D$58*'Исходные данные'!$H$58+'Исходные данные'!$D$59*'Исходные данные'!$H$59)+('Исходные данные'!$K$55+'Исходные данные'!$K$56+'Исходные данные'!$K$57+'Исходные данные'!$K$58+'Исходные данные'!$K$59)*'Детальный расчет'!AM23</f>
        <v>105000</v>
      </c>
      <c r="AN49" s="49">
        <f>AN9*('Исходные данные'!$D$55*'Исходные данные'!$H$55+'Исходные данные'!$D$56*'Исходные данные'!$H$56+'Исходные данные'!$D$57*'Исходные данные'!$H$57+'Исходные данные'!$D$58*'Исходные данные'!$H$58+'Исходные данные'!$D$59*'Исходные данные'!$H$59)+('Исходные данные'!$K$55+'Исходные данные'!$K$56+'Исходные данные'!$K$57+'Исходные данные'!$K$58+'Исходные данные'!$K$59)*'Детальный расчет'!AN23</f>
        <v>105000</v>
      </c>
      <c r="AO49" s="49">
        <f>AO9*('Исходные данные'!$D$55*'Исходные данные'!$H$55+'Исходные данные'!$D$56*'Исходные данные'!$H$56+'Исходные данные'!$D$57*'Исходные данные'!$H$57+'Исходные данные'!$D$58*'Исходные данные'!$H$58+'Исходные данные'!$D$59*'Исходные данные'!$H$59)+('Исходные данные'!$K$55+'Исходные данные'!$K$56+'Исходные данные'!$K$57+'Исходные данные'!$K$58+'Исходные данные'!$K$59)*'Детальный расчет'!AO23</f>
        <v>105000</v>
      </c>
      <c r="AP49" s="49">
        <f>AP9*('Исходные данные'!$D$55*'Исходные данные'!$H$55+'Исходные данные'!$D$56*'Исходные данные'!$H$56+'Исходные данные'!$D$57*'Исходные данные'!$H$57+'Исходные данные'!$D$58*'Исходные данные'!$H$58+'Исходные данные'!$D$59*'Исходные данные'!$H$59)+('Исходные данные'!$K$55+'Исходные данные'!$K$56+'Исходные данные'!$K$57+'Исходные данные'!$K$58+'Исходные данные'!$K$59)*'Детальный расчет'!AP23</f>
        <v>105000</v>
      </c>
      <c r="AQ49" s="50">
        <f t="shared" ref="AQ49:AQ55" si="114">SUM(AE49:AP49)</f>
        <v>1260000</v>
      </c>
      <c r="AR49" s="50">
        <f t="shared" ref="AR49:AR55" si="115">AQ49/12</f>
        <v>105000</v>
      </c>
      <c r="AS49" s="45">
        <f t="shared" ref="AS49:AS55" si="116">O49+AC49+AQ49</f>
        <v>3240000</v>
      </c>
      <c r="AT49" s="51"/>
    </row>
    <row r="50" spans="1:46" s="47" customFormat="1" ht="11.25">
      <c r="A50" s="63" t="str">
        <f>'Обобщенный расчет'!B35</f>
        <v>Роялти</v>
      </c>
      <c r="B50" s="42" t="str">
        <f>CHOOSE('Исходные данные'!$S$2,'Исходные данные'!$T$2,'Исходные данные'!$T$3,'Исходные данные'!$T$4,'Исходные данные'!$T$5)</f>
        <v>RUB</v>
      </c>
      <c r="C50" s="74">
        <f>'Обобщенный расчет'!$H$35</f>
        <v>10000</v>
      </c>
      <c r="D50" s="74">
        <f>'Обобщенный расчет'!$H$35</f>
        <v>10000</v>
      </c>
      <c r="E50" s="74">
        <f>'Обобщенный расчет'!$H$35</f>
        <v>10000</v>
      </c>
      <c r="F50" s="74">
        <f>'Обобщенный расчет'!$H$35</f>
        <v>10000</v>
      </c>
      <c r="G50" s="74">
        <f>'Обобщенный расчет'!$H$35</f>
        <v>10000</v>
      </c>
      <c r="H50" s="74">
        <f>'Обобщенный расчет'!$H$35</f>
        <v>10000</v>
      </c>
      <c r="I50" s="74">
        <f>'Обобщенный расчет'!$H$35</f>
        <v>10000</v>
      </c>
      <c r="J50" s="74">
        <f>'Обобщенный расчет'!$H$35</f>
        <v>10000</v>
      </c>
      <c r="K50" s="74">
        <f>'Обобщенный расчет'!$H$35</f>
        <v>10000</v>
      </c>
      <c r="L50" s="74">
        <f>'Обобщенный расчет'!$H$35</f>
        <v>10000</v>
      </c>
      <c r="M50" s="74">
        <f>'Обобщенный расчет'!$H$35</f>
        <v>10000</v>
      </c>
      <c r="N50" s="74">
        <f>'Обобщенный расчет'!$H$35</f>
        <v>10000</v>
      </c>
      <c r="O50" s="44">
        <f t="shared" si="110"/>
        <v>120000</v>
      </c>
      <c r="P50" s="44">
        <f t="shared" si="111"/>
        <v>10000</v>
      </c>
      <c r="Q50" s="74">
        <f>'Обобщенный расчет'!$H$35</f>
        <v>10000</v>
      </c>
      <c r="R50" s="74">
        <f>'Обобщенный расчет'!$H$35</f>
        <v>10000</v>
      </c>
      <c r="S50" s="74">
        <f>'Обобщенный расчет'!$H$35</f>
        <v>10000</v>
      </c>
      <c r="T50" s="74">
        <f>'Обобщенный расчет'!$H$35</f>
        <v>10000</v>
      </c>
      <c r="U50" s="74">
        <f>'Обобщенный расчет'!$H$35</f>
        <v>10000</v>
      </c>
      <c r="V50" s="74">
        <f>'Обобщенный расчет'!$H$35</f>
        <v>10000</v>
      </c>
      <c r="W50" s="74">
        <f>'Обобщенный расчет'!$H$35</f>
        <v>10000</v>
      </c>
      <c r="X50" s="74">
        <f>'Обобщенный расчет'!$H$35</f>
        <v>10000</v>
      </c>
      <c r="Y50" s="74">
        <f>'Обобщенный расчет'!$H$35</f>
        <v>10000</v>
      </c>
      <c r="Z50" s="74">
        <f>'Обобщенный расчет'!$H$35</f>
        <v>10000</v>
      </c>
      <c r="AA50" s="74">
        <f>'Обобщенный расчет'!$H$35</f>
        <v>10000</v>
      </c>
      <c r="AB50" s="74">
        <f>'Обобщенный расчет'!$H$35</f>
        <v>10000</v>
      </c>
      <c r="AC50" s="44">
        <f t="shared" si="112"/>
        <v>120000</v>
      </c>
      <c r="AD50" s="44">
        <f t="shared" si="113"/>
        <v>10000</v>
      </c>
      <c r="AE50" s="74">
        <f>'Обобщенный расчет'!$H$35</f>
        <v>10000</v>
      </c>
      <c r="AF50" s="74">
        <f>'Обобщенный расчет'!$H$35</f>
        <v>10000</v>
      </c>
      <c r="AG50" s="74">
        <f>'Обобщенный расчет'!$H$35</f>
        <v>10000</v>
      </c>
      <c r="AH50" s="74">
        <f>'Обобщенный расчет'!$H$35</f>
        <v>10000</v>
      </c>
      <c r="AI50" s="74">
        <f>'Обобщенный расчет'!$H$35</f>
        <v>10000</v>
      </c>
      <c r="AJ50" s="74">
        <f>'Обобщенный расчет'!$H$35</f>
        <v>10000</v>
      </c>
      <c r="AK50" s="74">
        <f>'Обобщенный расчет'!$H$35</f>
        <v>10000</v>
      </c>
      <c r="AL50" s="74">
        <f>'Обобщенный расчет'!$H$35</f>
        <v>10000</v>
      </c>
      <c r="AM50" s="74">
        <f>'Обобщенный расчет'!$H$35</f>
        <v>10000</v>
      </c>
      <c r="AN50" s="74">
        <f>'Обобщенный расчет'!$H$35</f>
        <v>10000</v>
      </c>
      <c r="AO50" s="74">
        <f>'Обобщенный расчет'!$H$35</f>
        <v>10000</v>
      </c>
      <c r="AP50" s="74">
        <f>'Обобщенный расчет'!$H$35</f>
        <v>10000</v>
      </c>
      <c r="AQ50" s="44">
        <f t="shared" si="114"/>
        <v>120000</v>
      </c>
      <c r="AR50" s="44">
        <f t="shared" si="115"/>
        <v>10000</v>
      </c>
      <c r="AS50" s="45">
        <f t="shared" si="116"/>
        <v>360000</v>
      </c>
      <c r="AT50" s="46"/>
    </row>
    <row r="51" spans="1:46" s="52" customFormat="1" ht="11.25">
      <c r="A51" s="64" t="str">
        <f>'Обобщенный расчет'!B36</f>
        <v>Маркетинговое сопровождение</v>
      </c>
      <c r="B51" s="48" t="str">
        <f>CHOOSE('Исходные данные'!$S$2,'Исходные данные'!$T$2,'Исходные данные'!$T$3,'Исходные данные'!$T$4,'Исходные данные'!$T$5)</f>
        <v>RUB</v>
      </c>
      <c r="C51" s="49">
        <f>'Обобщенный расчет'!$H$36</f>
        <v>4000</v>
      </c>
      <c r="D51" s="49">
        <f>'Обобщенный расчет'!$H$36</f>
        <v>4000</v>
      </c>
      <c r="E51" s="49">
        <f>'Обобщенный расчет'!$H$36</f>
        <v>4000</v>
      </c>
      <c r="F51" s="49">
        <f>'Обобщенный расчет'!$H$36</f>
        <v>4000</v>
      </c>
      <c r="G51" s="49">
        <f>'Обобщенный расчет'!$H$36</f>
        <v>4000</v>
      </c>
      <c r="H51" s="49">
        <f>'Обобщенный расчет'!$H$36</f>
        <v>4000</v>
      </c>
      <c r="I51" s="49">
        <f>'Обобщенный расчет'!$H$36</f>
        <v>4000</v>
      </c>
      <c r="J51" s="49">
        <f>'Обобщенный расчет'!$H$36</f>
        <v>4000</v>
      </c>
      <c r="K51" s="49">
        <f>'Обобщенный расчет'!$H$36</f>
        <v>4000</v>
      </c>
      <c r="L51" s="49">
        <f>'Обобщенный расчет'!$H$36</f>
        <v>4000</v>
      </c>
      <c r="M51" s="49">
        <f>'Обобщенный расчет'!$H$36</f>
        <v>4000</v>
      </c>
      <c r="N51" s="49">
        <f>'Обобщенный расчет'!$H$36</f>
        <v>4000</v>
      </c>
      <c r="O51" s="50">
        <f t="shared" ref="O51" si="117">SUM(C51:N51)</f>
        <v>48000</v>
      </c>
      <c r="P51" s="50">
        <f t="shared" ref="P51" si="118">O51/12</f>
        <v>4000</v>
      </c>
      <c r="Q51" s="49">
        <f>'Обобщенный расчет'!$H$36</f>
        <v>4000</v>
      </c>
      <c r="R51" s="49">
        <f>'Обобщенный расчет'!$H$36</f>
        <v>4000</v>
      </c>
      <c r="S51" s="49">
        <f>'Обобщенный расчет'!$H$36</f>
        <v>4000</v>
      </c>
      <c r="T51" s="49">
        <f>'Обобщенный расчет'!$H$36</f>
        <v>4000</v>
      </c>
      <c r="U51" s="49">
        <f>'Обобщенный расчет'!$H$36</f>
        <v>4000</v>
      </c>
      <c r="V51" s="49">
        <f>'Обобщенный расчет'!$H$36</f>
        <v>4000</v>
      </c>
      <c r="W51" s="49">
        <f>'Обобщенный расчет'!$H$36</f>
        <v>4000</v>
      </c>
      <c r="X51" s="49">
        <f>'Обобщенный расчет'!$H$36</f>
        <v>4000</v>
      </c>
      <c r="Y51" s="49">
        <f>'Обобщенный расчет'!$H$36</f>
        <v>4000</v>
      </c>
      <c r="Z51" s="49">
        <f>'Обобщенный расчет'!$H$36</f>
        <v>4000</v>
      </c>
      <c r="AA51" s="49">
        <f>'Обобщенный расчет'!$H$36</f>
        <v>4000</v>
      </c>
      <c r="AB51" s="49">
        <f>'Обобщенный расчет'!$H$36</f>
        <v>4000</v>
      </c>
      <c r="AC51" s="50">
        <f t="shared" ref="AC51" si="119">SUM(Q51:AB51)</f>
        <v>48000</v>
      </c>
      <c r="AD51" s="50">
        <f t="shared" ref="AD51" si="120">AC51/12</f>
        <v>4000</v>
      </c>
      <c r="AE51" s="49">
        <f>'Обобщенный расчет'!$H$36</f>
        <v>4000</v>
      </c>
      <c r="AF51" s="49">
        <f>'Обобщенный расчет'!$H$36</f>
        <v>4000</v>
      </c>
      <c r="AG51" s="49">
        <f>'Обобщенный расчет'!$H$36</f>
        <v>4000</v>
      </c>
      <c r="AH51" s="49">
        <f>'Обобщенный расчет'!$H$36</f>
        <v>4000</v>
      </c>
      <c r="AI51" s="49">
        <f>'Обобщенный расчет'!$H$36</f>
        <v>4000</v>
      </c>
      <c r="AJ51" s="49">
        <f>'Обобщенный расчет'!$H$36</f>
        <v>4000</v>
      </c>
      <c r="AK51" s="49">
        <f>'Обобщенный расчет'!$H$36</f>
        <v>4000</v>
      </c>
      <c r="AL51" s="49">
        <f>'Обобщенный расчет'!$H$36</f>
        <v>4000</v>
      </c>
      <c r="AM51" s="49">
        <f>'Обобщенный расчет'!$H$36</f>
        <v>4000</v>
      </c>
      <c r="AN51" s="49">
        <f>'Обобщенный расчет'!$H$36</f>
        <v>4000</v>
      </c>
      <c r="AO51" s="49">
        <f>'Обобщенный расчет'!$H$36</f>
        <v>4000</v>
      </c>
      <c r="AP51" s="49">
        <f>'Обобщенный расчет'!$H$36</f>
        <v>4000</v>
      </c>
      <c r="AQ51" s="50">
        <f t="shared" ref="AQ51" si="121">SUM(AE51:AP51)</f>
        <v>48000</v>
      </c>
      <c r="AR51" s="50">
        <f t="shared" ref="AR51" si="122">AQ51/12</f>
        <v>4000</v>
      </c>
      <c r="AS51" s="45">
        <f t="shared" ref="AS51" si="123">O51+AC51+AQ51</f>
        <v>144000</v>
      </c>
      <c r="AT51" s="51"/>
    </row>
    <row r="52" spans="1:46" s="47" customFormat="1" ht="11.25">
      <c r="A52" s="63" t="str">
        <f>'Обобщенный расчет'!B37</f>
        <v>Аренда</v>
      </c>
      <c r="B52" s="42" t="str">
        <f>CHOOSE('Исходные данные'!$S$2,'Исходные данные'!$T$2,'Исходные данные'!$T$3,'Исходные данные'!$T$4,'Исходные данные'!$T$5)</f>
        <v>RUB</v>
      </c>
      <c r="C52" s="43">
        <f>'Обобщенный расчет'!$H$37*C10</f>
        <v>12500</v>
      </c>
      <c r="D52" s="43">
        <f>'Обобщенный расчет'!$H$37*D10</f>
        <v>12500</v>
      </c>
      <c r="E52" s="43">
        <f>'Обобщенный расчет'!$H$37*E10</f>
        <v>12500</v>
      </c>
      <c r="F52" s="43">
        <f>'Обобщенный расчет'!$H$37*F10</f>
        <v>12500</v>
      </c>
      <c r="G52" s="43">
        <f>'Обобщенный расчет'!$H$37*G10</f>
        <v>12500</v>
      </c>
      <c r="H52" s="43">
        <f>'Обобщенный расчет'!$H$37*H10</f>
        <v>12500</v>
      </c>
      <c r="I52" s="43">
        <f>'Обобщенный расчет'!$H$37*I10</f>
        <v>12500</v>
      </c>
      <c r="J52" s="43">
        <f>'Обобщенный расчет'!$H$37*J10</f>
        <v>12500</v>
      </c>
      <c r="K52" s="43">
        <f>'Обобщенный расчет'!$H$37*K10</f>
        <v>12500</v>
      </c>
      <c r="L52" s="43">
        <f>'Обобщенный расчет'!$H$37*L10</f>
        <v>12500</v>
      </c>
      <c r="M52" s="43">
        <f>'Обобщенный расчет'!$H$37*M10</f>
        <v>12500</v>
      </c>
      <c r="N52" s="43">
        <f>'Обобщенный расчет'!$H$37*N10</f>
        <v>12500</v>
      </c>
      <c r="O52" s="44">
        <f t="shared" si="110"/>
        <v>150000</v>
      </c>
      <c r="P52" s="44">
        <f t="shared" si="111"/>
        <v>12500</v>
      </c>
      <c r="Q52" s="43">
        <f>'Обобщенный расчет'!$H$37*Q10</f>
        <v>12500</v>
      </c>
      <c r="R52" s="43">
        <f>'Обобщенный расчет'!$H$37*R10</f>
        <v>12500</v>
      </c>
      <c r="S52" s="43">
        <f>'Обобщенный расчет'!$H$37*S10</f>
        <v>12500</v>
      </c>
      <c r="T52" s="43">
        <f>'Обобщенный расчет'!$H$37*T10</f>
        <v>12500</v>
      </c>
      <c r="U52" s="43">
        <f>'Обобщенный расчет'!$H$37*U10</f>
        <v>12500</v>
      </c>
      <c r="V52" s="43">
        <f>'Обобщенный расчет'!$H$37*V10</f>
        <v>12500</v>
      </c>
      <c r="W52" s="43">
        <f>'Обобщенный расчет'!$H$37*W10</f>
        <v>12500</v>
      </c>
      <c r="X52" s="43">
        <f>'Обобщенный расчет'!$H$37*X10</f>
        <v>12500</v>
      </c>
      <c r="Y52" s="43">
        <f>'Обобщенный расчет'!$H$37*Y10</f>
        <v>12500</v>
      </c>
      <c r="Z52" s="43">
        <f>'Обобщенный расчет'!$H$37*Z10</f>
        <v>12500</v>
      </c>
      <c r="AA52" s="43">
        <f>'Обобщенный расчет'!$H$37*AA10</f>
        <v>12500</v>
      </c>
      <c r="AB52" s="43">
        <f>'Обобщенный расчет'!$H$37*AB10</f>
        <v>12500</v>
      </c>
      <c r="AC52" s="44">
        <f t="shared" si="112"/>
        <v>150000</v>
      </c>
      <c r="AD52" s="44">
        <f t="shared" si="113"/>
        <v>12500</v>
      </c>
      <c r="AE52" s="43">
        <f>'Обобщенный расчет'!$H$37*AE10</f>
        <v>12500</v>
      </c>
      <c r="AF52" s="43">
        <f>'Обобщенный расчет'!$H$37*AF10</f>
        <v>12500</v>
      </c>
      <c r="AG52" s="43">
        <f>'Обобщенный расчет'!$H$37*AG10</f>
        <v>12500</v>
      </c>
      <c r="AH52" s="43">
        <f>'Обобщенный расчет'!$H$37*AH10</f>
        <v>12500</v>
      </c>
      <c r="AI52" s="43">
        <f>'Обобщенный расчет'!$H$37*AI10</f>
        <v>12500</v>
      </c>
      <c r="AJ52" s="43">
        <f>'Обобщенный расчет'!$H$37*AJ10</f>
        <v>12500</v>
      </c>
      <c r="AK52" s="43">
        <f>'Обобщенный расчет'!$H$37*AK10</f>
        <v>12500</v>
      </c>
      <c r="AL52" s="43">
        <f>'Обобщенный расчет'!$H$37*AL10</f>
        <v>12500</v>
      </c>
      <c r="AM52" s="43">
        <f>'Обобщенный расчет'!$H$37*AM10</f>
        <v>12500</v>
      </c>
      <c r="AN52" s="43">
        <f>'Обобщенный расчет'!$H$37*AN10</f>
        <v>12500</v>
      </c>
      <c r="AO52" s="43">
        <f>'Обобщенный расчет'!$H$37*AO10</f>
        <v>12500</v>
      </c>
      <c r="AP52" s="43">
        <f>'Обобщенный расчет'!$H$37*AP10</f>
        <v>12500</v>
      </c>
      <c r="AQ52" s="44">
        <f t="shared" si="114"/>
        <v>150000</v>
      </c>
      <c r="AR52" s="44">
        <f t="shared" si="115"/>
        <v>12500</v>
      </c>
      <c r="AS52" s="45">
        <f t="shared" si="116"/>
        <v>450000</v>
      </c>
      <c r="AT52" s="46"/>
    </row>
    <row r="53" spans="1:46" s="52" customFormat="1" ht="11.25">
      <c r="A53" s="64" t="str">
        <f>'Обобщенный расчет'!B38</f>
        <v>Коммунальные платежи</v>
      </c>
      <c r="B53" s="48" t="str">
        <f>CHOOSE('Исходные данные'!$S$2,'Исходные данные'!$T$2,'Исходные данные'!$T$3,'Исходные данные'!$T$4,'Исходные данные'!$T$5)</f>
        <v>RUB</v>
      </c>
      <c r="C53" s="49">
        <f>'Обобщенный расчет'!$H$38*C11</f>
        <v>2500</v>
      </c>
      <c r="D53" s="49">
        <f>'Обобщенный расчет'!$H$38*D11</f>
        <v>2500</v>
      </c>
      <c r="E53" s="49">
        <f>'Обобщенный расчет'!$H$38*E11</f>
        <v>2500</v>
      </c>
      <c r="F53" s="49">
        <f>'Обобщенный расчет'!$H$38*F11</f>
        <v>2500</v>
      </c>
      <c r="G53" s="49">
        <f>'Обобщенный расчет'!$H$38*G11</f>
        <v>2500</v>
      </c>
      <c r="H53" s="49">
        <f>'Обобщенный расчет'!$H$38*H11</f>
        <v>2500</v>
      </c>
      <c r="I53" s="49">
        <f>'Обобщенный расчет'!$H$38*I11</f>
        <v>2500</v>
      </c>
      <c r="J53" s="49">
        <f>'Обобщенный расчет'!$H$38*J11</f>
        <v>2500</v>
      </c>
      <c r="K53" s="49">
        <f>'Обобщенный расчет'!$H$38*K11</f>
        <v>2500</v>
      </c>
      <c r="L53" s="49">
        <f>'Обобщенный расчет'!$H$38*L11</f>
        <v>2500</v>
      </c>
      <c r="M53" s="49">
        <f>'Обобщенный расчет'!$H$38*M11</f>
        <v>2500</v>
      </c>
      <c r="N53" s="49">
        <f>'Обобщенный расчет'!$H$38*N11</f>
        <v>2500</v>
      </c>
      <c r="O53" s="50">
        <f t="shared" si="110"/>
        <v>30000</v>
      </c>
      <c r="P53" s="50">
        <f t="shared" si="111"/>
        <v>2500</v>
      </c>
      <c r="Q53" s="49">
        <f>'Обобщенный расчет'!$H$38*Q11</f>
        <v>2500</v>
      </c>
      <c r="R53" s="49">
        <f>'Обобщенный расчет'!$H$38*R11</f>
        <v>2500</v>
      </c>
      <c r="S53" s="49">
        <f>'Обобщенный расчет'!$H$38*S11</f>
        <v>2500</v>
      </c>
      <c r="T53" s="49">
        <f>'Обобщенный расчет'!$H$38*T11</f>
        <v>2500</v>
      </c>
      <c r="U53" s="49">
        <f>'Обобщенный расчет'!$H$38*U11</f>
        <v>2500</v>
      </c>
      <c r="V53" s="49">
        <f>'Обобщенный расчет'!$H$38*V11</f>
        <v>2500</v>
      </c>
      <c r="W53" s="49">
        <f>'Обобщенный расчет'!$H$38*W11</f>
        <v>2500</v>
      </c>
      <c r="X53" s="49">
        <f>'Обобщенный расчет'!$H$38*X11</f>
        <v>2500</v>
      </c>
      <c r="Y53" s="49">
        <f>'Обобщенный расчет'!$H$38*Y11</f>
        <v>2500</v>
      </c>
      <c r="Z53" s="49">
        <f>'Обобщенный расчет'!$H$38*Z11</f>
        <v>2500</v>
      </c>
      <c r="AA53" s="49">
        <f>'Обобщенный расчет'!$H$38*AA11</f>
        <v>2500</v>
      </c>
      <c r="AB53" s="49">
        <f>'Обобщенный расчет'!$H$38*AB11</f>
        <v>2500</v>
      </c>
      <c r="AC53" s="50">
        <f t="shared" si="112"/>
        <v>30000</v>
      </c>
      <c r="AD53" s="50">
        <f t="shared" si="113"/>
        <v>2500</v>
      </c>
      <c r="AE53" s="49">
        <f>'Обобщенный расчет'!$H$38*AE11</f>
        <v>2500</v>
      </c>
      <c r="AF53" s="49">
        <f>'Обобщенный расчет'!$H$38*AF11</f>
        <v>2500</v>
      </c>
      <c r="AG53" s="49">
        <f>'Обобщенный расчет'!$H$38*AG11</f>
        <v>2500</v>
      </c>
      <c r="AH53" s="49">
        <f>'Обобщенный расчет'!$H$38*AH11</f>
        <v>2500</v>
      </c>
      <c r="AI53" s="49">
        <f>'Обобщенный расчет'!$H$38*AI11</f>
        <v>2500</v>
      </c>
      <c r="AJ53" s="49">
        <f>'Обобщенный расчет'!$H$38*AJ11</f>
        <v>2500</v>
      </c>
      <c r="AK53" s="49">
        <f>'Обобщенный расчет'!$H$38*AK11</f>
        <v>2500</v>
      </c>
      <c r="AL53" s="49">
        <f>'Обобщенный расчет'!$H$38*AL11</f>
        <v>2500</v>
      </c>
      <c r="AM53" s="49">
        <f>'Обобщенный расчет'!$H$38*AM11</f>
        <v>2500</v>
      </c>
      <c r="AN53" s="49">
        <f>'Обобщенный расчет'!$H$38*AN11</f>
        <v>2500</v>
      </c>
      <c r="AO53" s="49">
        <f>'Обобщенный расчет'!$H$38*AO11</f>
        <v>2500</v>
      </c>
      <c r="AP53" s="49">
        <f>'Обобщенный расчет'!$H$38*AP11</f>
        <v>2500</v>
      </c>
      <c r="AQ53" s="50">
        <f t="shared" si="114"/>
        <v>30000</v>
      </c>
      <c r="AR53" s="50">
        <f t="shared" si="115"/>
        <v>2500</v>
      </c>
      <c r="AS53" s="45">
        <f t="shared" si="116"/>
        <v>90000</v>
      </c>
      <c r="AT53" s="51"/>
    </row>
    <row r="54" spans="1:46" s="47" customFormat="1" ht="11.25">
      <c r="A54" s="63" t="str">
        <f>'Обобщенный расчет'!B39</f>
        <v>Хозяйственные нужды</v>
      </c>
      <c r="B54" s="42" t="str">
        <f>CHOOSE('Исходные данные'!$S$2,'Исходные данные'!$T$2,'Исходные данные'!$T$3,'Исходные данные'!$T$4,'Исходные данные'!$T$5)</f>
        <v>RUB</v>
      </c>
      <c r="C54" s="43">
        <f>'Обобщенный расчет'!$H$39</f>
        <v>1000</v>
      </c>
      <c r="D54" s="43">
        <f>'Обобщенный расчет'!$H$39</f>
        <v>1000</v>
      </c>
      <c r="E54" s="43">
        <f>'Обобщенный расчет'!$H$39</f>
        <v>1000</v>
      </c>
      <c r="F54" s="43">
        <f>'Обобщенный расчет'!$H$39</f>
        <v>1000</v>
      </c>
      <c r="G54" s="43">
        <f>'Обобщенный расчет'!$H$39</f>
        <v>1000</v>
      </c>
      <c r="H54" s="43">
        <f>'Обобщенный расчет'!$H$39</f>
        <v>1000</v>
      </c>
      <c r="I54" s="43">
        <f>'Обобщенный расчет'!$H$39</f>
        <v>1000</v>
      </c>
      <c r="J54" s="43">
        <f>'Обобщенный расчет'!$H$39</f>
        <v>1000</v>
      </c>
      <c r="K54" s="43">
        <f>'Обобщенный расчет'!$H$39</f>
        <v>1000</v>
      </c>
      <c r="L54" s="43">
        <f>'Обобщенный расчет'!$H$39</f>
        <v>1000</v>
      </c>
      <c r="M54" s="43">
        <f>'Обобщенный расчет'!$H$39</f>
        <v>1000</v>
      </c>
      <c r="N54" s="43">
        <f>'Обобщенный расчет'!$H$39</f>
        <v>1000</v>
      </c>
      <c r="O54" s="44">
        <f t="shared" si="110"/>
        <v>12000</v>
      </c>
      <c r="P54" s="44">
        <f t="shared" si="111"/>
        <v>1000</v>
      </c>
      <c r="Q54" s="43">
        <f>'Обобщенный расчет'!$H$39</f>
        <v>1000</v>
      </c>
      <c r="R54" s="43">
        <f>'Обобщенный расчет'!$H$39</f>
        <v>1000</v>
      </c>
      <c r="S54" s="43">
        <f>'Обобщенный расчет'!$H$39</f>
        <v>1000</v>
      </c>
      <c r="T54" s="43">
        <f>'Обобщенный расчет'!$H$39</f>
        <v>1000</v>
      </c>
      <c r="U54" s="43">
        <f>'Обобщенный расчет'!$H$39</f>
        <v>1000</v>
      </c>
      <c r="V54" s="43">
        <f>'Обобщенный расчет'!$H$39</f>
        <v>1000</v>
      </c>
      <c r="W54" s="43">
        <f>'Обобщенный расчет'!$H$39</f>
        <v>1000</v>
      </c>
      <c r="X54" s="43">
        <f>'Обобщенный расчет'!$H$39</f>
        <v>1000</v>
      </c>
      <c r="Y54" s="43">
        <f>'Обобщенный расчет'!$H$39</f>
        <v>1000</v>
      </c>
      <c r="Z54" s="43">
        <f>'Обобщенный расчет'!$H$39</f>
        <v>1000</v>
      </c>
      <c r="AA54" s="43">
        <f>'Обобщенный расчет'!$H$39</f>
        <v>1000</v>
      </c>
      <c r="AB54" s="43">
        <f>'Обобщенный расчет'!$H$39</f>
        <v>1000</v>
      </c>
      <c r="AC54" s="44">
        <f t="shared" si="112"/>
        <v>12000</v>
      </c>
      <c r="AD54" s="44">
        <f t="shared" si="113"/>
        <v>1000</v>
      </c>
      <c r="AE54" s="43">
        <f>'Обобщенный расчет'!$H$39</f>
        <v>1000</v>
      </c>
      <c r="AF54" s="43">
        <f>'Обобщенный расчет'!$H$39</f>
        <v>1000</v>
      </c>
      <c r="AG54" s="43">
        <f>'Обобщенный расчет'!$H$39</f>
        <v>1000</v>
      </c>
      <c r="AH54" s="43">
        <f>'Обобщенный расчет'!$H$39</f>
        <v>1000</v>
      </c>
      <c r="AI54" s="43">
        <f>'Обобщенный расчет'!$H$39</f>
        <v>1000</v>
      </c>
      <c r="AJ54" s="43">
        <f>'Обобщенный расчет'!$H$39</f>
        <v>1000</v>
      </c>
      <c r="AK54" s="43">
        <f>'Обобщенный расчет'!$H$39</f>
        <v>1000</v>
      </c>
      <c r="AL54" s="43">
        <f>'Обобщенный расчет'!$H$39</f>
        <v>1000</v>
      </c>
      <c r="AM54" s="43">
        <f>'Обобщенный расчет'!$H$39</f>
        <v>1000</v>
      </c>
      <c r="AN54" s="43">
        <f>'Обобщенный расчет'!$H$39</f>
        <v>1000</v>
      </c>
      <c r="AO54" s="43">
        <f>'Обобщенный расчет'!$H$39</f>
        <v>1000</v>
      </c>
      <c r="AP54" s="43">
        <f>'Обобщенный расчет'!$H$39</f>
        <v>1000</v>
      </c>
      <c r="AQ54" s="44">
        <f t="shared" si="114"/>
        <v>12000</v>
      </c>
      <c r="AR54" s="44">
        <f t="shared" si="115"/>
        <v>1000</v>
      </c>
      <c r="AS54" s="45">
        <f t="shared" si="116"/>
        <v>36000</v>
      </c>
      <c r="AT54" s="46"/>
    </row>
    <row r="55" spans="1:46" s="52" customFormat="1" ht="11.25">
      <c r="A55" s="64" t="str">
        <f>'Обобщенный расчет'!B40</f>
        <v>Офисные расходы</v>
      </c>
      <c r="B55" s="48" t="str">
        <f>CHOOSE('Исходные данные'!$S$2,'Исходные данные'!$T$2,'Исходные данные'!$T$3,'Исходные данные'!$T$4,'Исходные данные'!$T$5)</f>
        <v>RUB</v>
      </c>
      <c r="C55" s="49">
        <f>'Обобщенный расчет'!$H$40</f>
        <v>500</v>
      </c>
      <c r="D55" s="49">
        <f>'Обобщенный расчет'!$H$40</f>
        <v>500</v>
      </c>
      <c r="E55" s="49">
        <f>'Обобщенный расчет'!$H$40</f>
        <v>500</v>
      </c>
      <c r="F55" s="49">
        <f>'Обобщенный расчет'!$H$40</f>
        <v>500</v>
      </c>
      <c r="G55" s="49">
        <f>'Обобщенный расчет'!$H$40</f>
        <v>500</v>
      </c>
      <c r="H55" s="49">
        <f>'Обобщенный расчет'!$H$40</f>
        <v>500</v>
      </c>
      <c r="I55" s="49">
        <f>'Обобщенный расчет'!$H$40</f>
        <v>500</v>
      </c>
      <c r="J55" s="49">
        <f>'Обобщенный расчет'!$H$40</f>
        <v>500</v>
      </c>
      <c r="K55" s="49">
        <f>'Обобщенный расчет'!$H$40</f>
        <v>500</v>
      </c>
      <c r="L55" s="49">
        <f>'Обобщенный расчет'!$H$40</f>
        <v>500</v>
      </c>
      <c r="M55" s="49">
        <f>'Обобщенный расчет'!$H$40</f>
        <v>500</v>
      </c>
      <c r="N55" s="49">
        <f>'Обобщенный расчет'!$H$40</f>
        <v>500</v>
      </c>
      <c r="O55" s="50">
        <f t="shared" si="110"/>
        <v>6000</v>
      </c>
      <c r="P55" s="50">
        <f t="shared" si="111"/>
        <v>500</v>
      </c>
      <c r="Q55" s="49">
        <f>'Обобщенный расчет'!$H$40</f>
        <v>500</v>
      </c>
      <c r="R55" s="49">
        <f>'Обобщенный расчет'!$H$40</f>
        <v>500</v>
      </c>
      <c r="S55" s="49">
        <f>'Обобщенный расчет'!$H$40</f>
        <v>500</v>
      </c>
      <c r="T55" s="49">
        <f>'Обобщенный расчет'!$H$40</f>
        <v>500</v>
      </c>
      <c r="U55" s="49">
        <f>'Обобщенный расчет'!$H$40</f>
        <v>500</v>
      </c>
      <c r="V55" s="49">
        <f>'Обобщенный расчет'!$H$40</f>
        <v>500</v>
      </c>
      <c r="W55" s="49">
        <f>'Обобщенный расчет'!$H$40</f>
        <v>500</v>
      </c>
      <c r="X55" s="49">
        <f>'Обобщенный расчет'!$H$40</f>
        <v>500</v>
      </c>
      <c r="Y55" s="49">
        <f>'Обобщенный расчет'!$H$40</f>
        <v>500</v>
      </c>
      <c r="Z55" s="49">
        <f>'Обобщенный расчет'!$H$40</f>
        <v>500</v>
      </c>
      <c r="AA55" s="49">
        <f>'Обобщенный расчет'!$H$40</f>
        <v>500</v>
      </c>
      <c r="AB55" s="49">
        <f>'Обобщенный расчет'!$H$40</f>
        <v>500</v>
      </c>
      <c r="AC55" s="50">
        <f t="shared" si="112"/>
        <v>6000</v>
      </c>
      <c r="AD55" s="50">
        <f t="shared" si="113"/>
        <v>500</v>
      </c>
      <c r="AE55" s="49">
        <f>'Обобщенный расчет'!$H$40</f>
        <v>500</v>
      </c>
      <c r="AF55" s="49">
        <f>'Обобщенный расчет'!$H$40</f>
        <v>500</v>
      </c>
      <c r="AG55" s="49">
        <f>'Обобщенный расчет'!$H$40</f>
        <v>500</v>
      </c>
      <c r="AH55" s="49">
        <f>'Обобщенный расчет'!$H$40</f>
        <v>500</v>
      </c>
      <c r="AI55" s="49">
        <f>'Обобщенный расчет'!$H$40</f>
        <v>500</v>
      </c>
      <c r="AJ55" s="49">
        <f>'Обобщенный расчет'!$H$40</f>
        <v>500</v>
      </c>
      <c r="AK55" s="49">
        <f>'Обобщенный расчет'!$H$40</f>
        <v>500</v>
      </c>
      <c r="AL55" s="49">
        <f>'Обобщенный расчет'!$H$40</f>
        <v>500</v>
      </c>
      <c r="AM55" s="49">
        <f>'Обобщенный расчет'!$H$40</f>
        <v>500</v>
      </c>
      <c r="AN55" s="49">
        <f>'Обобщенный расчет'!$H$40</f>
        <v>500</v>
      </c>
      <c r="AO55" s="49">
        <f>'Обобщенный расчет'!$H$40</f>
        <v>500</v>
      </c>
      <c r="AP55" s="49">
        <f>'Обобщенный расчет'!$H$40</f>
        <v>500</v>
      </c>
      <c r="AQ55" s="50">
        <f t="shared" si="114"/>
        <v>6000</v>
      </c>
      <c r="AR55" s="50">
        <f t="shared" si="115"/>
        <v>500</v>
      </c>
      <c r="AS55" s="45">
        <f t="shared" si="116"/>
        <v>18000</v>
      </c>
      <c r="AT55" s="51"/>
    </row>
    <row r="56" spans="1:46" s="47" customFormat="1" ht="11.25">
      <c r="A56" s="63" t="str">
        <f>'Обобщенный расчет'!B41</f>
        <v>Сервисное обслуживание офисной техники</v>
      </c>
      <c r="B56" s="42" t="str">
        <f>CHOOSE('Исходные данные'!$S$2,'Исходные данные'!$T$2,'Исходные данные'!$T$3,'Исходные данные'!$T$4,'Исходные данные'!$T$5)</f>
        <v>RUB</v>
      </c>
      <c r="C56" s="43">
        <f>'Исходные данные'!$J$70</f>
        <v>0</v>
      </c>
      <c r="D56" s="43">
        <v>0</v>
      </c>
      <c r="E56" s="43">
        <v>0</v>
      </c>
      <c r="F56" s="43">
        <f>'Исходные данные'!$J$70</f>
        <v>0</v>
      </c>
      <c r="G56" s="43">
        <v>0</v>
      </c>
      <c r="H56" s="43">
        <v>0</v>
      </c>
      <c r="I56" s="43">
        <f>'Исходные данные'!$J$70</f>
        <v>0</v>
      </c>
      <c r="J56" s="43">
        <v>0</v>
      </c>
      <c r="K56" s="43">
        <v>0</v>
      </c>
      <c r="L56" s="43">
        <f>'Исходные данные'!$J$70</f>
        <v>0</v>
      </c>
      <c r="M56" s="43">
        <v>0</v>
      </c>
      <c r="N56" s="43">
        <v>0</v>
      </c>
      <c r="O56" s="44">
        <f t="shared" ref="O56:O63" si="124">SUM(C56:N56)</f>
        <v>0</v>
      </c>
      <c r="P56" s="44">
        <f t="shared" ref="P56:P63" si="125">O56/12</f>
        <v>0</v>
      </c>
      <c r="Q56" s="43">
        <f>'Исходные данные'!$J$70</f>
        <v>0</v>
      </c>
      <c r="R56" s="43">
        <v>0</v>
      </c>
      <c r="S56" s="43">
        <v>0</v>
      </c>
      <c r="T56" s="43">
        <f>'Исходные данные'!$J$70</f>
        <v>0</v>
      </c>
      <c r="U56" s="43">
        <v>0</v>
      </c>
      <c r="V56" s="43">
        <v>0</v>
      </c>
      <c r="W56" s="43">
        <f>'Исходные данные'!$J$70</f>
        <v>0</v>
      </c>
      <c r="X56" s="43">
        <v>0</v>
      </c>
      <c r="Y56" s="43">
        <v>0</v>
      </c>
      <c r="Z56" s="43">
        <f>'Исходные данные'!$J$70</f>
        <v>0</v>
      </c>
      <c r="AA56" s="43">
        <v>0</v>
      </c>
      <c r="AB56" s="43">
        <v>0</v>
      </c>
      <c r="AC56" s="44">
        <f t="shared" ref="AC56:AC63" si="126">SUM(Q56:AB56)</f>
        <v>0</v>
      </c>
      <c r="AD56" s="44">
        <f t="shared" ref="AD56:AD63" si="127">AC56/12</f>
        <v>0</v>
      </c>
      <c r="AE56" s="43">
        <f>'Исходные данные'!$J$70</f>
        <v>0</v>
      </c>
      <c r="AF56" s="43">
        <v>0</v>
      </c>
      <c r="AG56" s="43">
        <v>0</v>
      </c>
      <c r="AH56" s="43">
        <f>'Исходные данные'!$J$70</f>
        <v>0</v>
      </c>
      <c r="AI56" s="43">
        <v>0</v>
      </c>
      <c r="AJ56" s="43">
        <v>0</v>
      </c>
      <c r="AK56" s="43">
        <f>'Исходные данные'!$J$70</f>
        <v>0</v>
      </c>
      <c r="AL56" s="43">
        <v>0</v>
      </c>
      <c r="AM56" s="43">
        <v>0</v>
      </c>
      <c r="AN56" s="43">
        <f>'Исходные данные'!$J$70</f>
        <v>0</v>
      </c>
      <c r="AO56" s="43">
        <v>0</v>
      </c>
      <c r="AP56" s="43">
        <v>0</v>
      </c>
      <c r="AQ56" s="44">
        <f t="shared" ref="AQ56:AQ63" si="128">SUM(AE56:AP56)</f>
        <v>0</v>
      </c>
      <c r="AR56" s="44">
        <f t="shared" ref="AR56:AR63" si="129">AQ56/12</f>
        <v>0</v>
      </c>
      <c r="AS56" s="45">
        <f t="shared" ref="AS56:AS63" si="130">O56+AC56+AQ56</f>
        <v>0</v>
      </c>
      <c r="AT56" s="46"/>
    </row>
    <row r="57" spans="1:46" s="52" customFormat="1" ht="11.25">
      <c r="A57" s="64" t="str">
        <f>'Обобщенный расчет'!B42</f>
        <v>Охрана</v>
      </c>
      <c r="B57" s="48" t="str">
        <f>CHOOSE('Исходные данные'!$S$2,'Исходные данные'!$T$2,'Исходные данные'!$T$3,'Исходные данные'!$T$4,'Исходные данные'!$T$5)</f>
        <v>RUB</v>
      </c>
      <c r="C57" s="49">
        <f>'Обобщенный расчет'!$H$42</f>
        <v>0</v>
      </c>
      <c r="D57" s="49">
        <f>'Обобщенный расчет'!$H$42</f>
        <v>0</v>
      </c>
      <c r="E57" s="49">
        <f>'Обобщенный расчет'!$H$42</f>
        <v>0</v>
      </c>
      <c r="F57" s="49">
        <f>'Обобщенный расчет'!$H$42</f>
        <v>0</v>
      </c>
      <c r="G57" s="49">
        <f>'Обобщенный расчет'!$H$42</f>
        <v>0</v>
      </c>
      <c r="H57" s="49">
        <f>'Обобщенный расчет'!$H$42</f>
        <v>0</v>
      </c>
      <c r="I57" s="49">
        <f>'Обобщенный расчет'!$H$42</f>
        <v>0</v>
      </c>
      <c r="J57" s="49">
        <f>'Обобщенный расчет'!$H$42</f>
        <v>0</v>
      </c>
      <c r="K57" s="49">
        <f>'Обобщенный расчет'!$H$42</f>
        <v>0</v>
      </c>
      <c r="L57" s="49">
        <f>'Обобщенный расчет'!$H$42</f>
        <v>0</v>
      </c>
      <c r="M57" s="49">
        <f>'Обобщенный расчет'!$H$42</f>
        <v>0</v>
      </c>
      <c r="N57" s="49">
        <f>'Обобщенный расчет'!$H$42</f>
        <v>0</v>
      </c>
      <c r="O57" s="50">
        <f t="shared" ref="O57" si="131">SUM(C57:N57)</f>
        <v>0</v>
      </c>
      <c r="P57" s="50">
        <f t="shared" ref="P57" si="132">O57/12</f>
        <v>0</v>
      </c>
      <c r="Q57" s="49">
        <f>'Обобщенный расчет'!$H$42</f>
        <v>0</v>
      </c>
      <c r="R57" s="49">
        <f>'Обобщенный расчет'!$H$42</f>
        <v>0</v>
      </c>
      <c r="S57" s="49">
        <f>'Обобщенный расчет'!$H$42</f>
        <v>0</v>
      </c>
      <c r="T57" s="49">
        <f>'Обобщенный расчет'!$H$42</f>
        <v>0</v>
      </c>
      <c r="U57" s="49">
        <f>'Обобщенный расчет'!$H$42</f>
        <v>0</v>
      </c>
      <c r="V57" s="49">
        <f>'Обобщенный расчет'!$H$42</f>
        <v>0</v>
      </c>
      <c r="W57" s="49">
        <f>'Обобщенный расчет'!$H$42</f>
        <v>0</v>
      </c>
      <c r="X57" s="49">
        <f>'Обобщенный расчет'!$H$42</f>
        <v>0</v>
      </c>
      <c r="Y57" s="49">
        <f>'Обобщенный расчет'!$H$42</f>
        <v>0</v>
      </c>
      <c r="Z57" s="49">
        <f>'Обобщенный расчет'!$H$42</f>
        <v>0</v>
      </c>
      <c r="AA57" s="49">
        <f>'Обобщенный расчет'!$H$42</f>
        <v>0</v>
      </c>
      <c r="AB57" s="49">
        <f>'Обобщенный расчет'!$H$42</f>
        <v>0</v>
      </c>
      <c r="AC57" s="50">
        <f t="shared" ref="AC57" si="133">SUM(Q57:AB57)</f>
        <v>0</v>
      </c>
      <c r="AD57" s="50">
        <f t="shared" ref="AD57" si="134">AC57/12</f>
        <v>0</v>
      </c>
      <c r="AE57" s="49">
        <f>'Обобщенный расчет'!$H$42</f>
        <v>0</v>
      </c>
      <c r="AF57" s="49">
        <f>'Обобщенный расчет'!$H$42</f>
        <v>0</v>
      </c>
      <c r="AG57" s="49">
        <f>'Обобщенный расчет'!$H$42</f>
        <v>0</v>
      </c>
      <c r="AH57" s="49">
        <f>'Обобщенный расчет'!$H$42</f>
        <v>0</v>
      </c>
      <c r="AI57" s="49">
        <f>'Обобщенный расчет'!$H$42</f>
        <v>0</v>
      </c>
      <c r="AJ57" s="49">
        <f>'Обобщенный расчет'!$H$42</f>
        <v>0</v>
      </c>
      <c r="AK57" s="49">
        <f>'Обобщенный расчет'!$H$42</f>
        <v>0</v>
      </c>
      <c r="AL57" s="49">
        <f>'Обобщенный расчет'!$H$42</f>
        <v>0</v>
      </c>
      <c r="AM57" s="49">
        <f>'Обобщенный расчет'!$H$42</f>
        <v>0</v>
      </c>
      <c r="AN57" s="49">
        <f>'Обобщенный расчет'!$H$42</f>
        <v>0</v>
      </c>
      <c r="AO57" s="49">
        <f>'Обобщенный расчет'!$H$42</f>
        <v>0</v>
      </c>
      <c r="AP57" s="49">
        <f>'Обобщенный расчет'!$H$42</f>
        <v>0</v>
      </c>
      <c r="AQ57" s="50">
        <f t="shared" ref="AQ57" si="135">SUM(AE57:AP57)</f>
        <v>0</v>
      </c>
      <c r="AR57" s="50">
        <f t="shared" ref="AR57" si="136">AQ57/12</f>
        <v>0</v>
      </c>
      <c r="AS57" s="45">
        <f t="shared" ref="AS57" si="137">O57+AC57+AQ57</f>
        <v>0</v>
      </c>
      <c r="AT57" s="51"/>
    </row>
    <row r="58" spans="1:46" s="47" customFormat="1" ht="11.25">
      <c r="A58" s="63" t="str">
        <f>'Обобщенный расчет'!B43</f>
        <v>Услуги связи и интернет</v>
      </c>
      <c r="B58" s="42" t="str">
        <f>CHOOSE('Исходные данные'!$S$2,'Исходные данные'!$T$2,'Исходные данные'!$T$3,'Исходные данные'!$T$4,'Исходные данные'!$T$5)</f>
        <v>RUB</v>
      </c>
      <c r="C58" s="43">
        <f>'Обобщенный расчет'!$H$43*C12</f>
        <v>300</v>
      </c>
      <c r="D58" s="43">
        <f>'Обобщенный расчет'!$H$43*D12</f>
        <v>300</v>
      </c>
      <c r="E58" s="43">
        <f>'Обобщенный расчет'!$H$43*E12</f>
        <v>300</v>
      </c>
      <c r="F58" s="43">
        <f>'Обобщенный расчет'!$H$43*F12</f>
        <v>300</v>
      </c>
      <c r="G58" s="43">
        <f>'Обобщенный расчет'!$H$43*G12</f>
        <v>300</v>
      </c>
      <c r="H58" s="43">
        <f>'Обобщенный расчет'!$H$43*H12</f>
        <v>300</v>
      </c>
      <c r="I58" s="43">
        <f>'Обобщенный расчет'!$H$43*I12</f>
        <v>300</v>
      </c>
      <c r="J58" s="43">
        <f>'Обобщенный расчет'!$H$43*J12</f>
        <v>300</v>
      </c>
      <c r="K58" s="43">
        <f>'Обобщенный расчет'!$H$43*K12</f>
        <v>300</v>
      </c>
      <c r="L58" s="43">
        <f>'Обобщенный расчет'!$H$43*L12</f>
        <v>300</v>
      </c>
      <c r="M58" s="43">
        <f>'Обобщенный расчет'!$H$43*M12</f>
        <v>300</v>
      </c>
      <c r="N58" s="43">
        <f>'Обобщенный расчет'!$H$43*N12</f>
        <v>300</v>
      </c>
      <c r="O58" s="44">
        <f t="shared" ref="O58" si="138">SUM(C58:N58)</f>
        <v>3600</v>
      </c>
      <c r="P58" s="44">
        <f t="shared" ref="P58" si="139">O58/12</f>
        <v>300</v>
      </c>
      <c r="Q58" s="43">
        <f>'Обобщенный расчет'!$H$43*Q12</f>
        <v>300</v>
      </c>
      <c r="R58" s="43">
        <f>'Обобщенный расчет'!$H$43*R12</f>
        <v>300</v>
      </c>
      <c r="S58" s="43">
        <f>'Обобщенный расчет'!$H$43*S12</f>
        <v>300</v>
      </c>
      <c r="T58" s="43">
        <f>'Обобщенный расчет'!$H$43*T12</f>
        <v>300</v>
      </c>
      <c r="U58" s="43">
        <f>'Обобщенный расчет'!$H$43*U12</f>
        <v>300</v>
      </c>
      <c r="V58" s="43">
        <f>'Обобщенный расчет'!$H$43*V12</f>
        <v>300</v>
      </c>
      <c r="W58" s="43">
        <f>'Обобщенный расчет'!$H$43*W12</f>
        <v>300</v>
      </c>
      <c r="X58" s="43">
        <f>'Обобщенный расчет'!$H$43*X12</f>
        <v>300</v>
      </c>
      <c r="Y58" s="43">
        <f>'Обобщенный расчет'!$H$43*Y12</f>
        <v>300</v>
      </c>
      <c r="Z58" s="43">
        <f>'Обобщенный расчет'!$H$43*Z12</f>
        <v>300</v>
      </c>
      <c r="AA58" s="43">
        <f>'Обобщенный расчет'!$H$43*AA12</f>
        <v>300</v>
      </c>
      <c r="AB58" s="43">
        <f>'Обобщенный расчет'!$H$43*AB12</f>
        <v>300</v>
      </c>
      <c r="AC58" s="44">
        <f t="shared" ref="AC58" si="140">SUM(Q58:AB58)</f>
        <v>3600</v>
      </c>
      <c r="AD58" s="44">
        <f t="shared" ref="AD58" si="141">AC58/12</f>
        <v>300</v>
      </c>
      <c r="AE58" s="43">
        <f>'Обобщенный расчет'!$H$43*AE12</f>
        <v>300</v>
      </c>
      <c r="AF58" s="43">
        <f>'Обобщенный расчет'!$H$43*AF12</f>
        <v>300</v>
      </c>
      <c r="AG58" s="43">
        <f>'Обобщенный расчет'!$H$43*AG12</f>
        <v>300</v>
      </c>
      <c r="AH58" s="43">
        <f>'Обобщенный расчет'!$H$43*AH12</f>
        <v>300</v>
      </c>
      <c r="AI58" s="43">
        <f>'Обобщенный расчет'!$H$43*AI12</f>
        <v>300</v>
      </c>
      <c r="AJ58" s="43">
        <f>'Обобщенный расчет'!$H$43*AJ12</f>
        <v>300</v>
      </c>
      <c r="AK58" s="43">
        <f>'Обобщенный расчет'!$H$43*AK12</f>
        <v>300</v>
      </c>
      <c r="AL58" s="43">
        <f>'Обобщенный расчет'!$H$43*AL12</f>
        <v>300</v>
      </c>
      <c r="AM58" s="43">
        <f>'Обобщенный расчет'!$H$43*AM12</f>
        <v>300</v>
      </c>
      <c r="AN58" s="43">
        <f>'Обобщенный расчет'!$H$43*AN12</f>
        <v>300</v>
      </c>
      <c r="AO58" s="43">
        <f>'Обобщенный расчет'!$H$43*AO12</f>
        <v>300</v>
      </c>
      <c r="AP58" s="43">
        <f>'Обобщенный расчет'!$H$43*AP12</f>
        <v>300</v>
      </c>
      <c r="AQ58" s="44">
        <f t="shared" ref="AQ58" si="142">SUM(AE58:AP58)</f>
        <v>3600</v>
      </c>
      <c r="AR58" s="44">
        <f t="shared" ref="AR58" si="143">AQ58/12</f>
        <v>300</v>
      </c>
      <c r="AS58" s="45">
        <f t="shared" ref="AS58" si="144">O58+AC58+AQ58</f>
        <v>10800</v>
      </c>
      <c r="AT58" s="46"/>
    </row>
    <row r="59" spans="1:46" s="52" customFormat="1" ht="11.25">
      <c r="A59" s="64" t="str">
        <f>'Обобщенный расчет'!B44</f>
        <v>Текущий ремонт</v>
      </c>
      <c r="B59" s="48" t="str">
        <f>CHOOSE('Исходные данные'!$S$2,'Исходные данные'!$T$2,'Исходные данные'!$T$3,'Исходные данные'!$T$4,'Исходные данные'!$T$5)</f>
        <v>RUB</v>
      </c>
      <c r="C59" s="49">
        <f>'Обобщенный расчет'!$H$44</f>
        <v>0</v>
      </c>
      <c r="D59" s="49">
        <f>'Обобщенный расчет'!$H$44</f>
        <v>0</v>
      </c>
      <c r="E59" s="49">
        <f>'Обобщенный расчет'!$H$44</f>
        <v>0</v>
      </c>
      <c r="F59" s="49">
        <f>'Обобщенный расчет'!$H$44</f>
        <v>0</v>
      </c>
      <c r="G59" s="49">
        <f>'Обобщенный расчет'!$H$44</f>
        <v>0</v>
      </c>
      <c r="H59" s="49">
        <f>'Обобщенный расчет'!$H$44</f>
        <v>0</v>
      </c>
      <c r="I59" s="49">
        <f>'Обобщенный расчет'!$H$44</f>
        <v>0</v>
      </c>
      <c r="J59" s="49">
        <f>'Обобщенный расчет'!$H$44</f>
        <v>0</v>
      </c>
      <c r="K59" s="49">
        <f>'Обобщенный расчет'!$H$44</f>
        <v>0</v>
      </c>
      <c r="L59" s="49">
        <f>'Обобщенный расчет'!$H$44</f>
        <v>0</v>
      </c>
      <c r="M59" s="49">
        <f>'Обобщенный расчет'!$H$44</f>
        <v>0</v>
      </c>
      <c r="N59" s="49">
        <f>'Обобщенный расчет'!$H$44</f>
        <v>0</v>
      </c>
      <c r="O59" s="50">
        <f t="shared" ref="O59" si="145">SUM(C59:N59)</f>
        <v>0</v>
      </c>
      <c r="P59" s="50">
        <f t="shared" ref="P59" si="146">O59/12</f>
        <v>0</v>
      </c>
      <c r="Q59" s="49">
        <f>'Обобщенный расчет'!$H$44</f>
        <v>0</v>
      </c>
      <c r="R59" s="49">
        <f>'Обобщенный расчет'!$H$44</f>
        <v>0</v>
      </c>
      <c r="S59" s="49">
        <f>'Обобщенный расчет'!$H$44</f>
        <v>0</v>
      </c>
      <c r="T59" s="49">
        <f>'Обобщенный расчет'!$H$44</f>
        <v>0</v>
      </c>
      <c r="U59" s="49">
        <f>'Обобщенный расчет'!$H$44</f>
        <v>0</v>
      </c>
      <c r="V59" s="49">
        <f>'Обобщенный расчет'!$H$44</f>
        <v>0</v>
      </c>
      <c r="W59" s="49">
        <f>'Обобщенный расчет'!$H$44</f>
        <v>0</v>
      </c>
      <c r="X59" s="49">
        <f>'Обобщенный расчет'!$H$44</f>
        <v>0</v>
      </c>
      <c r="Y59" s="49">
        <f>'Обобщенный расчет'!$H$44</f>
        <v>0</v>
      </c>
      <c r="Z59" s="49">
        <f>'Обобщенный расчет'!$H$44</f>
        <v>0</v>
      </c>
      <c r="AA59" s="49">
        <f>'Обобщенный расчет'!$H$44</f>
        <v>0</v>
      </c>
      <c r="AB59" s="49">
        <f>'Обобщенный расчет'!$H$44</f>
        <v>0</v>
      </c>
      <c r="AC59" s="50">
        <f t="shared" ref="AC59" si="147">SUM(Q59:AB59)</f>
        <v>0</v>
      </c>
      <c r="AD59" s="50">
        <f t="shared" ref="AD59" si="148">AC59/12</f>
        <v>0</v>
      </c>
      <c r="AE59" s="49">
        <f>'Обобщенный расчет'!$H$44</f>
        <v>0</v>
      </c>
      <c r="AF59" s="49">
        <f>'Обобщенный расчет'!$H$44</f>
        <v>0</v>
      </c>
      <c r="AG59" s="49">
        <f>'Обобщенный расчет'!$H$44</f>
        <v>0</v>
      </c>
      <c r="AH59" s="49">
        <f>'Обобщенный расчет'!$H$44</f>
        <v>0</v>
      </c>
      <c r="AI59" s="49">
        <f>'Обобщенный расчет'!$H$44</f>
        <v>0</v>
      </c>
      <c r="AJ59" s="49">
        <f>'Обобщенный расчет'!$H$44</f>
        <v>0</v>
      </c>
      <c r="AK59" s="49">
        <f>'Обобщенный расчет'!$H$44</f>
        <v>0</v>
      </c>
      <c r="AL59" s="49">
        <f>'Обобщенный расчет'!$H$44</f>
        <v>0</v>
      </c>
      <c r="AM59" s="49">
        <f>'Обобщенный расчет'!$H$44</f>
        <v>0</v>
      </c>
      <c r="AN59" s="49">
        <f>'Обобщенный расчет'!$H$44</f>
        <v>0</v>
      </c>
      <c r="AO59" s="49">
        <f>'Обобщенный расчет'!$H$44</f>
        <v>0</v>
      </c>
      <c r="AP59" s="49">
        <f>'Обобщенный расчет'!$H$44</f>
        <v>0</v>
      </c>
      <c r="AQ59" s="50">
        <f t="shared" ref="AQ59" si="149">SUM(AE59:AP59)</f>
        <v>0</v>
      </c>
      <c r="AR59" s="50">
        <f t="shared" ref="AR59" si="150">AQ59/12</f>
        <v>0</v>
      </c>
      <c r="AS59" s="45">
        <f t="shared" ref="AS59" si="151">O59+AC59+AQ59</f>
        <v>0</v>
      </c>
      <c r="AT59" s="51"/>
    </row>
    <row r="60" spans="1:46" s="47" customFormat="1" ht="11.25">
      <c r="A60" s="63" t="str">
        <f>'Обобщенный расчет'!B45</f>
        <v>Обновление униформы персонала</v>
      </c>
      <c r="B60" s="42" t="str">
        <f>CHOOSE('Исходные данные'!$S$2,'Исходные данные'!$T$2,'Исходные данные'!$T$3,'Исходные данные'!$T$4,'Исходные данные'!$T$5)</f>
        <v>RUB</v>
      </c>
      <c r="C60" s="43">
        <f>'Исходные данные'!$J$74</f>
        <v>1500</v>
      </c>
      <c r="D60" s="43">
        <v>0</v>
      </c>
      <c r="E60" s="43">
        <v>0</v>
      </c>
      <c r="F60" s="43">
        <f>'Исходные данные'!$J$74</f>
        <v>1500</v>
      </c>
      <c r="G60" s="43">
        <v>0</v>
      </c>
      <c r="H60" s="43">
        <v>0</v>
      </c>
      <c r="I60" s="43">
        <f>'Исходные данные'!$J$74</f>
        <v>1500</v>
      </c>
      <c r="J60" s="43">
        <v>0</v>
      </c>
      <c r="K60" s="43">
        <v>0</v>
      </c>
      <c r="L60" s="43">
        <f>'Исходные данные'!$J$74</f>
        <v>1500</v>
      </c>
      <c r="M60" s="43">
        <v>0</v>
      </c>
      <c r="N60" s="43">
        <v>0</v>
      </c>
      <c r="O60" s="44">
        <f t="shared" si="124"/>
        <v>6000</v>
      </c>
      <c r="P60" s="44">
        <f t="shared" si="125"/>
        <v>500</v>
      </c>
      <c r="Q60" s="43">
        <f>'Исходные данные'!$J$74</f>
        <v>1500</v>
      </c>
      <c r="R60" s="43">
        <v>0</v>
      </c>
      <c r="S60" s="43">
        <v>0</v>
      </c>
      <c r="T60" s="43">
        <f>'Исходные данные'!$J$74</f>
        <v>1500</v>
      </c>
      <c r="U60" s="43">
        <v>0</v>
      </c>
      <c r="V60" s="43">
        <v>0</v>
      </c>
      <c r="W60" s="43">
        <f>'Исходные данные'!$J$74</f>
        <v>1500</v>
      </c>
      <c r="X60" s="43">
        <v>0</v>
      </c>
      <c r="Y60" s="43">
        <v>0</v>
      </c>
      <c r="Z60" s="43">
        <f>'Исходные данные'!$J$74</f>
        <v>1500</v>
      </c>
      <c r="AA60" s="43">
        <v>0</v>
      </c>
      <c r="AB60" s="43">
        <v>0</v>
      </c>
      <c r="AC60" s="44">
        <f t="shared" si="126"/>
        <v>6000</v>
      </c>
      <c r="AD60" s="44">
        <f t="shared" si="127"/>
        <v>500</v>
      </c>
      <c r="AE60" s="43">
        <f>'Исходные данные'!$J$74</f>
        <v>1500</v>
      </c>
      <c r="AF60" s="43">
        <v>0</v>
      </c>
      <c r="AG60" s="43">
        <v>0</v>
      </c>
      <c r="AH60" s="43">
        <f>'Исходные данные'!$J$74</f>
        <v>1500</v>
      </c>
      <c r="AI60" s="43">
        <v>0</v>
      </c>
      <c r="AJ60" s="43">
        <v>0</v>
      </c>
      <c r="AK60" s="43">
        <f>'Исходные данные'!$J$74</f>
        <v>1500</v>
      </c>
      <c r="AL60" s="43">
        <v>0</v>
      </c>
      <c r="AM60" s="43">
        <v>0</v>
      </c>
      <c r="AN60" s="43">
        <f>'Исходные данные'!$J$74</f>
        <v>1500</v>
      </c>
      <c r="AO60" s="43">
        <v>0</v>
      </c>
      <c r="AP60" s="43">
        <v>0</v>
      </c>
      <c r="AQ60" s="44">
        <f t="shared" si="128"/>
        <v>6000</v>
      </c>
      <c r="AR60" s="44">
        <f t="shared" si="129"/>
        <v>500</v>
      </c>
      <c r="AS60" s="45">
        <f t="shared" si="130"/>
        <v>18000</v>
      </c>
      <c r="AT60" s="46"/>
    </row>
    <row r="61" spans="1:46" s="52" customFormat="1" ht="11.25">
      <c r="A61" s="64" t="str">
        <f>'Обобщенный расчет'!B46</f>
        <v>Рекламные мероприятия</v>
      </c>
      <c r="B61" s="48" t="str">
        <f>CHOOSE('Исходные данные'!$S$2,'Исходные данные'!$T$2,'Исходные данные'!$T$3,'Исходные данные'!$T$4,'Исходные данные'!$T$5)</f>
        <v>RUB</v>
      </c>
      <c r="C61" s="49">
        <f>'Обобщенный расчет'!$H$46</f>
        <v>5000</v>
      </c>
      <c r="D61" s="49">
        <f>'Обобщенный расчет'!$H$46</f>
        <v>5000</v>
      </c>
      <c r="E61" s="49">
        <f>'Обобщенный расчет'!$H$46</f>
        <v>5000</v>
      </c>
      <c r="F61" s="49">
        <f>'Обобщенный расчет'!$H$46</f>
        <v>5000</v>
      </c>
      <c r="G61" s="49">
        <f>'Обобщенный расчет'!$H$46</f>
        <v>5000</v>
      </c>
      <c r="H61" s="49">
        <f>'Обобщенный расчет'!$H$46</f>
        <v>5000</v>
      </c>
      <c r="I61" s="49">
        <f>'Обобщенный расчет'!$H$46</f>
        <v>5000</v>
      </c>
      <c r="J61" s="49">
        <f>'Обобщенный расчет'!$H$46</f>
        <v>5000</v>
      </c>
      <c r="K61" s="49">
        <f>'Обобщенный расчет'!$H$46</f>
        <v>5000</v>
      </c>
      <c r="L61" s="49">
        <f>'Обобщенный расчет'!$H$46</f>
        <v>5000</v>
      </c>
      <c r="M61" s="49">
        <f>'Обобщенный расчет'!$H$46</f>
        <v>5000</v>
      </c>
      <c r="N61" s="49">
        <f>'Обобщенный расчет'!$H$46</f>
        <v>5000</v>
      </c>
      <c r="O61" s="50">
        <f t="shared" si="124"/>
        <v>60000</v>
      </c>
      <c r="P61" s="50">
        <f t="shared" si="125"/>
        <v>5000</v>
      </c>
      <c r="Q61" s="49">
        <f>'Обобщенный расчет'!$H$46</f>
        <v>5000</v>
      </c>
      <c r="R61" s="49">
        <f>'Обобщенный расчет'!$H$46</f>
        <v>5000</v>
      </c>
      <c r="S61" s="49">
        <f>'Обобщенный расчет'!$H$46</f>
        <v>5000</v>
      </c>
      <c r="T61" s="49">
        <f>'Обобщенный расчет'!$H$46</f>
        <v>5000</v>
      </c>
      <c r="U61" s="49">
        <f>'Обобщенный расчет'!$H$46</f>
        <v>5000</v>
      </c>
      <c r="V61" s="49">
        <f>'Обобщенный расчет'!$H$46</f>
        <v>5000</v>
      </c>
      <c r="W61" s="49">
        <f>'Обобщенный расчет'!$H$46</f>
        <v>5000</v>
      </c>
      <c r="X61" s="49">
        <f>'Обобщенный расчет'!$H$46</f>
        <v>5000</v>
      </c>
      <c r="Y61" s="49">
        <f>'Обобщенный расчет'!$H$46</f>
        <v>5000</v>
      </c>
      <c r="Z61" s="49">
        <f>'Обобщенный расчет'!$H$46</f>
        <v>5000</v>
      </c>
      <c r="AA61" s="49">
        <f>'Обобщенный расчет'!$H$46</f>
        <v>5000</v>
      </c>
      <c r="AB61" s="49">
        <f>'Обобщенный расчет'!$H$46</f>
        <v>5000</v>
      </c>
      <c r="AC61" s="50">
        <f t="shared" si="126"/>
        <v>60000</v>
      </c>
      <c r="AD61" s="50">
        <f t="shared" si="127"/>
        <v>5000</v>
      </c>
      <c r="AE61" s="49">
        <f>'Обобщенный расчет'!$H$46</f>
        <v>5000</v>
      </c>
      <c r="AF61" s="49">
        <f>'Обобщенный расчет'!$H$46</f>
        <v>5000</v>
      </c>
      <c r="AG61" s="49">
        <f>'Обобщенный расчет'!$H$46</f>
        <v>5000</v>
      </c>
      <c r="AH61" s="49">
        <f>'Обобщенный расчет'!$H$46</f>
        <v>5000</v>
      </c>
      <c r="AI61" s="49">
        <f>'Обобщенный расчет'!$H$46</f>
        <v>5000</v>
      </c>
      <c r="AJ61" s="49">
        <f>'Обобщенный расчет'!$H$46</f>
        <v>5000</v>
      </c>
      <c r="AK61" s="49">
        <f>'Обобщенный расчет'!$H$46</f>
        <v>5000</v>
      </c>
      <c r="AL61" s="49">
        <f>'Обобщенный расчет'!$H$46</f>
        <v>5000</v>
      </c>
      <c r="AM61" s="49">
        <f>'Обобщенный расчет'!$H$46</f>
        <v>5000</v>
      </c>
      <c r="AN61" s="49">
        <f>'Обобщенный расчет'!$H$46</f>
        <v>5000</v>
      </c>
      <c r="AO61" s="49">
        <f>'Обобщенный расчет'!$H$46</f>
        <v>5000</v>
      </c>
      <c r="AP61" s="49">
        <f>'Обобщенный расчет'!$H$46</f>
        <v>5000</v>
      </c>
      <c r="AQ61" s="50">
        <f t="shared" si="128"/>
        <v>60000</v>
      </c>
      <c r="AR61" s="50">
        <f t="shared" si="129"/>
        <v>5000</v>
      </c>
      <c r="AS61" s="45">
        <f t="shared" si="130"/>
        <v>180000</v>
      </c>
      <c r="AT61" s="51"/>
    </row>
    <row r="62" spans="1:46" s="47" customFormat="1" ht="11.25">
      <c r="A62" s="63" t="str">
        <f>'Обобщенный расчет'!B47</f>
        <v>Банковское обслуживание</v>
      </c>
      <c r="B62" s="42" t="str">
        <f>CHOOSE('Исходные данные'!$S$2,'Исходные данные'!$T$2,'Исходные данные'!$T$3,'Исходные данные'!$T$4,'Исходные данные'!$T$5)</f>
        <v>RUB</v>
      </c>
      <c r="C62" s="43">
        <f>'Обобщенный расчет'!$H$47</f>
        <v>0</v>
      </c>
      <c r="D62" s="43">
        <f>'Обобщенный расчет'!$H$47</f>
        <v>0</v>
      </c>
      <c r="E62" s="43">
        <f>'Обобщенный расчет'!$H$47</f>
        <v>0</v>
      </c>
      <c r="F62" s="43">
        <f>'Обобщенный расчет'!$H$47</f>
        <v>0</v>
      </c>
      <c r="G62" s="43">
        <f>'Обобщенный расчет'!$H$47</f>
        <v>0</v>
      </c>
      <c r="H62" s="43">
        <f>'Обобщенный расчет'!$H$47</f>
        <v>0</v>
      </c>
      <c r="I62" s="43">
        <f>'Обобщенный расчет'!$H$47</f>
        <v>0</v>
      </c>
      <c r="J62" s="43">
        <f>'Обобщенный расчет'!$H$47</f>
        <v>0</v>
      </c>
      <c r="K62" s="43">
        <f>'Обобщенный расчет'!$H$47</f>
        <v>0</v>
      </c>
      <c r="L62" s="43">
        <f>'Обобщенный расчет'!$H$47</f>
        <v>0</v>
      </c>
      <c r="M62" s="43">
        <f>'Обобщенный расчет'!$H$47</f>
        <v>0</v>
      </c>
      <c r="N62" s="43">
        <f>'Обобщенный расчет'!$H$47</f>
        <v>0</v>
      </c>
      <c r="O62" s="44">
        <f t="shared" ref="O62" si="152">SUM(C62:N62)</f>
        <v>0</v>
      </c>
      <c r="P62" s="44">
        <f t="shared" si="125"/>
        <v>0</v>
      </c>
      <c r="Q62" s="43">
        <f>'Обобщенный расчет'!$H$47</f>
        <v>0</v>
      </c>
      <c r="R62" s="43">
        <f>'Обобщенный расчет'!$H$47</f>
        <v>0</v>
      </c>
      <c r="S62" s="43">
        <f>'Обобщенный расчет'!$H$47</f>
        <v>0</v>
      </c>
      <c r="T62" s="43">
        <f>'Обобщенный расчет'!$H$47</f>
        <v>0</v>
      </c>
      <c r="U62" s="43">
        <f>'Обобщенный расчет'!$H$47</f>
        <v>0</v>
      </c>
      <c r="V62" s="43">
        <f>'Обобщенный расчет'!$H$47</f>
        <v>0</v>
      </c>
      <c r="W62" s="43">
        <f>'Обобщенный расчет'!$H$47</f>
        <v>0</v>
      </c>
      <c r="X62" s="43">
        <f>'Обобщенный расчет'!$H$47</f>
        <v>0</v>
      </c>
      <c r="Y62" s="43">
        <f>'Обобщенный расчет'!$H$47</f>
        <v>0</v>
      </c>
      <c r="Z62" s="43">
        <f>'Обобщенный расчет'!$H$47</f>
        <v>0</v>
      </c>
      <c r="AA62" s="43">
        <f>'Обобщенный расчет'!$H$47</f>
        <v>0</v>
      </c>
      <c r="AB62" s="43">
        <f>'Обобщенный расчет'!$H$47</f>
        <v>0</v>
      </c>
      <c r="AC62" s="44">
        <f t="shared" si="126"/>
        <v>0</v>
      </c>
      <c r="AD62" s="44">
        <f t="shared" si="127"/>
        <v>0</v>
      </c>
      <c r="AE62" s="43">
        <f>'Обобщенный расчет'!$H$47</f>
        <v>0</v>
      </c>
      <c r="AF62" s="43">
        <f>'Обобщенный расчет'!$H$47</f>
        <v>0</v>
      </c>
      <c r="AG62" s="43">
        <f>'Обобщенный расчет'!$H$47</f>
        <v>0</v>
      </c>
      <c r="AH62" s="43">
        <f>'Обобщенный расчет'!$H$47</f>
        <v>0</v>
      </c>
      <c r="AI62" s="43">
        <f>'Обобщенный расчет'!$H$47</f>
        <v>0</v>
      </c>
      <c r="AJ62" s="43">
        <f>'Обобщенный расчет'!$H$47</f>
        <v>0</v>
      </c>
      <c r="AK62" s="43">
        <f>'Обобщенный расчет'!$H$47</f>
        <v>0</v>
      </c>
      <c r="AL62" s="43">
        <f>'Обобщенный расчет'!$H$47</f>
        <v>0</v>
      </c>
      <c r="AM62" s="43">
        <f>'Обобщенный расчет'!$H$47</f>
        <v>0</v>
      </c>
      <c r="AN62" s="43">
        <f>'Обобщенный расчет'!$H$47</f>
        <v>0</v>
      </c>
      <c r="AO62" s="43">
        <f>'Обобщенный расчет'!$H$47</f>
        <v>0</v>
      </c>
      <c r="AP62" s="43">
        <f>'Обобщенный расчет'!$H$47</f>
        <v>0</v>
      </c>
      <c r="AQ62" s="44">
        <f t="shared" si="128"/>
        <v>0</v>
      </c>
      <c r="AR62" s="44">
        <f t="shared" si="129"/>
        <v>0</v>
      </c>
      <c r="AS62" s="45">
        <f t="shared" si="130"/>
        <v>0</v>
      </c>
      <c r="AT62" s="46"/>
    </row>
    <row r="63" spans="1:46" s="52" customFormat="1" ht="11.25">
      <c r="A63" s="64" t="str">
        <f>'Обобщенный расчет'!B48</f>
        <v>Налоги на зарплату</v>
      </c>
      <c r="B63" s="48" t="str">
        <f>CHOOSE('Исходные данные'!$S$2,'Исходные данные'!$T$2,'Исходные данные'!$T$3,'Исходные данные'!$T$4,'Исходные данные'!$T$5)</f>
        <v>RUB</v>
      </c>
      <c r="C63" s="49">
        <f>C9*('Исходные данные'!$D$55*'Исходные данные'!$H$55+'Исходные данные'!$D$56*'Исходные данные'!$H$56+'Исходные данные'!$D$57*'Исходные данные'!$H$57+'Исходные данные'!$D$58*'Исходные данные'!$H$58+'Исходные данные'!$D$59*'Исходные данные'!$H$59)*'Исходные данные'!$E$77</f>
        <v>22650</v>
      </c>
      <c r="D63" s="49">
        <f>D9*('Исходные данные'!$D$55*'Исходные данные'!$H$55+'Исходные данные'!$D$56*'Исходные данные'!$H$56+'Исходные данные'!$D$57*'Исходные данные'!$H$57+'Исходные данные'!$D$58*'Исходные данные'!$H$58+'Исходные данные'!$D$59*'Исходные данные'!$H$59)*'Исходные данные'!$E$77</f>
        <v>22650</v>
      </c>
      <c r="E63" s="49">
        <f>E9*('Исходные данные'!$D$55*'Исходные данные'!$H$55+'Исходные данные'!$D$56*'Исходные данные'!$H$56+'Исходные данные'!$D$57*'Исходные данные'!$H$57+'Исходные данные'!$D$58*'Исходные данные'!$H$58+'Исходные данные'!$D$59*'Исходные данные'!$H$59)*'Исходные данные'!$E$77</f>
        <v>22650</v>
      </c>
      <c r="F63" s="49">
        <f>F9*('Исходные данные'!$D$55*'Исходные данные'!$H$55+'Исходные данные'!$D$56*'Исходные данные'!$H$56+'Исходные данные'!$D$57*'Исходные данные'!$H$57+'Исходные данные'!$D$58*'Исходные данные'!$H$58+'Исходные данные'!$D$59*'Исходные данные'!$H$59)*'Исходные данные'!$E$77</f>
        <v>22650</v>
      </c>
      <c r="G63" s="49">
        <f>G9*('Исходные данные'!$D$55*'Исходные данные'!$H$55+'Исходные данные'!$D$56*'Исходные данные'!$H$56+'Исходные данные'!$D$57*'Исходные данные'!$H$57+'Исходные данные'!$D$58*'Исходные данные'!$H$58+'Исходные данные'!$D$59*'Исходные данные'!$H$59)*'Исходные данные'!$E$77</f>
        <v>22650</v>
      </c>
      <c r="H63" s="49">
        <f>H9*('Исходные данные'!$D$55*'Исходные данные'!$H$55+'Исходные данные'!$D$56*'Исходные данные'!$H$56+'Исходные данные'!$D$57*'Исходные данные'!$H$57+'Исходные данные'!$D$58*'Исходные данные'!$H$58+'Исходные данные'!$D$59*'Исходные данные'!$H$59)*'Исходные данные'!$E$77</f>
        <v>22650</v>
      </c>
      <c r="I63" s="49">
        <f>I9*('Исходные данные'!$D$55*'Исходные данные'!$H$55+'Исходные данные'!$D$56*'Исходные данные'!$H$56+'Исходные данные'!$D$57*'Исходные данные'!$H$57+'Исходные данные'!$D$58*'Исходные данные'!$H$58+'Исходные данные'!$D$59*'Исходные данные'!$H$59)*'Исходные данные'!$E$77</f>
        <v>22650</v>
      </c>
      <c r="J63" s="49">
        <f>J9*('Исходные данные'!$D$55*'Исходные данные'!$H$55+'Исходные данные'!$D$56*'Исходные данные'!$H$56+'Исходные данные'!$D$57*'Исходные данные'!$H$57+'Исходные данные'!$D$58*'Исходные данные'!$H$58+'Исходные данные'!$D$59*'Исходные данные'!$H$59)*'Исходные данные'!$E$77</f>
        <v>22650</v>
      </c>
      <c r="K63" s="49">
        <f>K9*('Исходные данные'!$D$55*'Исходные данные'!$H$55+'Исходные данные'!$D$56*'Исходные данные'!$H$56+'Исходные данные'!$D$57*'Исходные данные'!$H$57+'Исходные данные'!$D$58*'Исходные данные'!$H$58+'Исходные данные'!$D$59*'Исходные данные'!$H$59)*'Исходные данные'!$E$77</f>
        <v>22650</v>
      </c>
      <c r="L63" s="49">
        <f>L9*('Исходные данные'!$D$55*'Исходные данные'!$H$55+'Исходные данные'!$D$56*'Исходные данные'!$H$56+'Исходные данные'!$D$57*'Исходные данные'!$H$57+'Исходные данные'!$D$58*'Исходные данные'!$H$58+'Исходные данные'!$D$59*'Исходные данные'!$H$59)*'Исходные данные'!$E$77</f>
        <v>22650</v>
      </c>
      <c r="M63" s="49">
        <f>M9*('Исходные данные'!$D$55*'Исходные данные'!$H$55+'Исходные данные'!$D$56*'Исходные данные'!$H$56+'Исходные данные'!$D$57*'Исходные данные'!$H$57+'Исходные данные'!$D$58*'Исходные данные'!$H$58+'Исходные данные'!$D$59*'Исходные данные'!$H$59)*'Исходные данные'!$E$77</f>
        <v>22650</v>
      </c>
      <c r="N63" s="49">
        <f>N9*('Исходные данные'!$D$55*'Исходные данные'!$H$55+'Исходные данные'!$D$56*'Исходные данные'!$H$56+'Исходные данные'!$D$57*'Исходные данные'!$H$57+'Исходные данные'!$D$58*'Исходные данные'!$H$58+'Исходные данные'!$D$59*'Исходные данные'!$H$59)*'Исходные данные'!$E$77</f>
        <v>22650</v>
      </c>
      <c r="O63" s="50">
        <f t="shared" si="124"/>
        <v>271800</v>
      </c>
      <c r="P63" s="50">
        <f t="shared" si="125"/>
        <v>22650</v>
      </c>
      <c r="Q63" s="49">
        <f>Q9*('Исходные данные'!$D$55*'Исходные данные'!$H$55+'Исходные данные'!$D$56*'Исходные данные'!$H$56+'Исходные данные'!$D$57*'Исходные данные'!$H$57+'Исходные данные'!$D$58*'Исходные данные'!$H$58+'Исходные данные'!$D$59*'Исходные данные'!$H$59)*'Исходные данные'!$E$77</f>
        <v>27180</v>
      </c>
      <c r="R63" s="49">
        <f>R9*('Исходные данные'!$D$55*'Исходные данные'!$H$55+'Исходные данные'!$D$56*'Исходные данные'!$H$56+'Исходные данные'!$D$57*'Исходные данные'!$H$57+'Исходные данные'!$D$58*'Исходные данные'!$H$58+'Исходные данные'!$D$59*'Исходные данные'!$H$59)*'Исходные данные'!$E$77</f>
        <v>27180</v>
      </c>
      <c r="S63" s="49">
        <f>S9*('Исходные данные'!$D$55*'Исходные данные'!$H$55+'Исходные данные'!$D$56*'Исходные данные'!$H$56+'Исходные данные'!$D$57*'Исходные данные'!$H$57+'Исходные данные'!$D$58*'Исходные данные'!$H$58+'Исходные данные'!$D$59*'Исходные данные'!$H$59)*'Исходные данные'!$E$77</f>
        <v>27180</v>
      </c>
      <c r="T63" s="49">
        <f>T9*('Исходные данные'!$D$55*'Исходные данные'!$H$55+'Исходные данные'!$D$56*'Исходные данные'!$H$56+'Исходные данные'!$D$57*'Исходные данные'!$H$57+'Исходные данные'!$D$58*'Исходные данные'!$H$58+'Исходные данные'!$D$59*'Исходные данные'!$H$59)*'Исходные данные'!$E$77</f>
        <v>27180</v>
      </c>
      <c r="U63" s="49">
        <f>U9*('Исходные данные'!$D$55*'Исходные данные'!$H$55+'Исходные данные'!$D$56*'Исходные данные'!$H$56+'Исходные данные'!$D$57*'Исходные данные'!$H$57+'Исходные данные'!$D$58*'Исходные данные'!$H$58+'Исходные данные'!$D$59*'Исходные данные'!$H$59)*'Исходные данные'!$E$77</f>
        <v>27180</v>
      </c>
      <c r="V63" s="49">
        <f>V9*('Исходные данные'!$D$55*'Исходные данные'!$H$55+'Исходные данные'!$D$56*'Исходные данные'!$H$56+'Исходные данные'!$D$57*'Исходные данные'!$H$57+'Исходные данные'!$D$58*'Исходные данные'!$H$58+'Исходные данные'!$D$59*'Исходные данные'!$H$59)*'Исходные данные'!$E$77</f>
        <v>27180</v>
      </c>
      <c r="W63" s="49">
        <f>W9*('Исходные данные'!$D$55*'Исходные данные'!$H$55+'Исходные данные'!$D$56*'Исходные данные'!$H$56+'Исходные данные'!$D$57*'Исходные данные'!$H$57+'Исходные данные'!$D$58*'Исходные данные'!$H$58+'Исходные данные'!$D$59*'Исходные данные'!$H$59)*'Исходные данные'!$E$77</f>
        <v>27180</v>
      </c>
      <c r="X63" s="49">
        <f>X9*('Исходные данные'!$D$55*'Исходные данные'!$H$55+'Исходные данные'!$D$56*'Исходные данные'!$H$56+'Исходные данные'!$D$57*'Исходные данные'!$H$57+'Исходные данные'!$D$58*'Исходные данные'!$H$58+'Исходные данные'!$D$59*'Исходные данные'!$H$59)*'Исходные данные'!$E$77</f>
        <v>27180</v>
      </c>
      <c r="Y63" s="49">
        <f>Y9*('Исходные данные'!$D$55*'Исходные данные'!$H$55+'Исходные данные'!$D$56*'Исходные данные'!$H$56+'Исходные данные'!$D$57*'Исходные данные'!$H$57+'Исходные данные'!$D$58*'Исходные данные'!$H$58+'Исходные данные'!$D$59*'Исходные данные'!$H$59)*'Исходные данные'!$E$77</f>
        <v>27180</v>
      </c>
      <c r="Z63" s="49">
        <f>Z9*('Исходные данные'!$D$55*'Исходные данные'!$H$55+'Исходные данные'!$D$56*'Исходные данные'!$H$56+'Исходные данные'!$D$57*'Исходные данные'!$H$57+'Исходные данные'!$D$58*'Исходные данные'!$H$58+'Исходные данные'!$D$59*'Исходные данные'!$H$59)*'Исходные данные'!$E$77</f>
        <v>27180</v>
      </c>
      <c r="AA63" s="49">
        <f>AA9*('Исходные данные'!$D$55*'Исходные данные'!$H$55+'Исходные данные'!$D$56*'Исходные данные'!$H$56+'Исходные данные'!$D$57*'Исходные данные'!$H$57+'Исходные данные'!$D$58*'Исходные данные'!$H$58+'Исходные данные'!$D$59*'Исходные данные'!$H$59)*'Исходные данные'!$E$77</f>
        <v>27180</v>
      </c>
      <c r="AB63" s="49">
        <f>AB9*('Исходные данные'!$D$55*'Исходные данные'!$H$55+'Исходные данные'!$D$56*'Исходные данные'!$H$56+'Исходные данные'!$D$57*'Исходные данные'!$H$57+'Исходные данные'!$D$58*'Исходные данные'!$H$58+'Исходные данные'!$D$59*'Исходные данные'!$H$59)*'Исходные данные'!$E$77</f>
        <v>27180</v>
      </c>
      <c r="AC63" s="50">
        <f t="shared" si="126"/>
        <v>326160</v>
      </c>
      <c r="AD63" s="50">
        <f t="shared" si="127"/>
        <v>27180</v>
      </c>
      <c r="AE63" s="49">
        <f>AE9*('Исходные данные'!$D$55*'Исходные данные'!$H$55+'Исходные данные'!$D$56*'Исходные данные'!$H$56+'Исходные данные'!$D$57*'Исходные данные'!$H$57+'Исходные данные'!$D$58*'Исходные данные'!$H$58+'Исходные данные'!$D$59*'Исходные данные'!$H$59)*'Исходные данные'!$E$77</f>
        <v>31710</v>
      </c>
      <c r="AF63" s="49">
        <f>AF9*('Исходные данные'!$D$55*'Исходные данные'!$H$55+'Исходные данные'!$D$56*'Исходные данные'!$H$56+'Исходные данные'!$D$57*'Исходные данные'!$H$57+'Исходные данные'!$D$58*'Исходные данные'!$H$58+'Исходные данные'!$D$59*'Исходные данные'!$H$59)*'Исходные данные'!$E$77</f>
        <v>31710</v>
      </c>
      <c r="AG63" s="49">
        <f>AG9*('Исходные данные'!$D$55*'Исходные данные'!$H$55+'Исходные данные'!$D$56*'Исходные данные'!$H$56+'Исходные данные'!$D$57*'Исходные данные'!$H$57+'Исходные данные'!$D$58*'Исходные данные'!$H$58+'Исходные данные'!$D$59*'Исходные данные'!$H$59)*'Исходные данные'!$E$77</f>
        <v>31710</v>
      </c>
      <c r="AH63" s="49">
        <f>AH9*('Исходные данные'!$D$55*'Исходные данные'!$H$55+'Исходные данные'!$D$56*'Исходные данные'!$H$56+'Исходные данные'!$D$57*'Исходные данные'!$H$57+'Исходные данные'!$D$58*'Исходные данные'!$H$58+'Исходные данные'!$D$59*'Исходные данные'!$H$59)*'Исходные данные'!$E$77</f>
        <v>31710</v>
      </c>
      <c r="AI63" s="49">
        <f>AI9*('Исходные данные'!$D$55*'Исходные данные'!$H$55+'Исходные данные'!$D$56*'Исходные данные'!$H$56+'Исходные данные'!$D$57*'Исходные данные'!$H$57+'Исходные данные'!$D$58*'Исходные данные'!$H$58+'Исходные данные'!$D$59*'Исходные данные'!$H$59)*'Исходные данные'!$E$77</f>
        <v>31710</v>
      </c>
      <c r="AJ63" s="49">
        <f>AJ9*('Исходные данные'!$D$55*'Исходные данные'!$H$55+'Исходные данные'!$D$56*'Исходные данные'!$H$56+'Исходные данные'!$D$57*'Исходные данные'!$H$57+'Исходные данные'!$D$58*'Исходные данные'!$H$58+'Исходные данные'!$D$59*'Исходные данные'!$H$59)*'Исходные данные'!$E$77</f>
        <v>31710</v>
      </c>
      <c r="AK63" s="49">
        <f>AK9*('Исходные данные'!$D$55*'Исходные данные'!$H$55+'Исходные данные'!$D$56*'Исходные данные'!$H$56+'Исходные данные'!$D$57*'Исходные данные'!$H$57+'Исходные данные'!$D$58*'Исходные данные'!$H$58+'Исходные данные'!$D$59*'Исходные данные'!$H$59)*'Исходные данные'!$E$77</f>
        <v>31710</v>
      </c>
      <c r="AL63" s="49">
        <f>AL9*('Исходные данные'!$D$55*'Исходные данные'!$H$55+'Исходные данные'!$D$56*'Исходные данные'!$H$56+'Исходные данные'!$D$57*'Исходные данные'!$H$57+'Исходные данные'!$D$58*'Исходные данные'!$H$58+'Исходные данные'!$D$59*'Исходные данные'!$H$59)*'Исходные данные'!$E$77</f>
        <v>31710</v>
      </c>
      <c r="AM63" s="49">
        <f>AM9*('Исходные данные'!$D$55*'Исходные данные'!$H$55+'Исходные данные'!$D$56*'Исходные данные'!$H$56+'Исходные данные'!$D$57*'Исходные данные'!$H$57+'Исходные данные'!$D$58*'Исходные данные'!$H$58+'Исходные данные'!$D$59*'Исходные данные'!$H$59)*'Исходные данные'!$E$77</f>
        <v>31710</v>
      </c>
      <c r="AN63" s="49">
        <f>AN9*('Исходные данные'!$D$55*'Исходные данные'!$H$55+'Исходные данные'!$D$56*'Исходные данные'!$H$56+'Исходные данные'!$D$57*'Исходные данные'!$H$57+'Исходные данные'!$D$58*'Исходные данные'!$H$58+'Исходные данные'!$D$59*'Исходные данные'!$H$59)*'Исходные данные'!$E$77</f>
        <v>31710</v>
      </c>
      <c r="AO63" s="49">
        <f>AO9*('Исходные данные'!$D$55*'Исходные данные'!$H$55+'Исходные данные'!$D$56*'Исходные данные'!$H$56+'Исходные данные'!$D$57*'Исходные данные'!$H$57+'Исходные данные'!$D$58*'Исходные данные'!$H$58+'Исходные данные'!$D$59*'Исходные данные'!$H$59)*'Исходные данные'!$E$77</f>
        <v>31710</v>
      </c>
      <c r="AP63" s="49">
        <f>AP9*('Исходные данные'!$D$55*'Исходные данные'!$H$55+'Исходные данные'!$D$56*'Исходные данные'!$H$56+'Исходные данные'!$D$57*'Исходные данные'!$H$57+'Исходные данные'!$D$58*'Исходные данные'!$H$58+'Исходные данные'!$D$59*'Исходные данные'!$H$59)*'Исходные данные'!$E$77</f>
        <v>31710</v>
      </c>
      <c r="AQ63" s="50">
        <f t="shared" si="128"/>
        <v>380520</v>
      </c>
      <c r="AR63" s="50">
        <f t="shared" si="129"/>
        <v>31710</v>
      </c>
      <c r="AS63" s="45">
        <f t="shared" si="130"/>
        <v>978480</v>
      </c>
      <c r="AT63" s="51"/>
    </row>
    <row r="64" spans="1:46" s="47" customFormat="1" ht="11.25">
      <c r="A64" s="63" t="str">
        <f>'Обобщенный расчет'!B49</f>
        <v>Налоги</v>
      </c>
      <c r="B64" s="42" t="str">
        <f>CHOOSE('Исходные данные'!$S$2,'Исходные данные'!$T$2,'Исходные данные'!$T$3,'Исходные данные'!$T$4,'Исходные данные'!$T$5)</f>
        <v>RUB</v>
      </c>
      <c r="C64" s="43">
        <f>IF('Обобщенный расчет'!$L$1=1,'Исходные данные'!$E$78*'Детальный расчет'!C23,0)+IF('Обобщенный расчет'!$L$1=2,'Исходные данные'!$E$79*C47,0)+IF('Обобщенный расчет'!$L$1=3,'Исходные данные'!$J$80,0)</f>
        <v>1869</v>
      </c>
      <c r="D64" s="43">
        <f>IF('Обобщенный расчет'!$L$1=1,'Исходные данные'!$E$78*'Детальный расчет'!D23,0)+IF('Обобщенный расчет'!$L$1=2,'Исходные данные'!$E$79*D47,0)+IF('Обобщенный расчет'!$L$1=3,'Исходные данные'!$J$80,0)</f>
        <v>2592</v>
      </c>
      <c r="E64" s="43">
        <f>IF('Обобщенный расчет'!$L$1=1,'Исходные данные'!$E$78*'Детальный расчет'!E23,0)+IF('Обобщенный расчет'!$L$1=2,'Исходные данные'!$E$79*E47,0)+IF('Обобщенный расчет'!$L$1=3,'Исходные данные'!$J$80,0)</f>
        <v>5049</v>
      </c>
      <c r="F64" s="43">
        <f>IF('Обобщенный расчет'!$L$1=1,'Исходные данные'!$E$78*'Детальный расчет'!F23,0)+IF('Обобщенный расчет'!$L$1=2,'Исходные данные'!$E$79*F47,0)+IF('Обобщенный расчет'!$L$1=3,'Исходные данные'!$J$80,0)</f>
        <v>2670</v>
      </c>
      <c r="G64" s="43">
        <f>IF('Обобщенный расчет'!$L$1=1,'Исходные данные'!$E$78*'Детальный расчет'!G23,0)+IF('Обобщенный расчет'!$L$1=2,'Исходные данные'!$E$79*G47,0)+IF('Обобщенный расчет'!$L$1=3,'Исходные данные'!$J$80,0)</f>
        <v>3240</v>
      </c>
      <c r="H64" s="43">
        <f>IF('Обобщенный расчет'!$L$1=1,'Исходные данные'!$E$78*'Детальный расчет'!H23,0)+IF('Обобщенный расчет'!$L$1=2,'Исходные данные'!$E$79*H47,0)+IF('Обобщенный расчет'!$L$1=3,'Исходные данные'!$J$80,0)</f>
        <v>5610</v>
      </c>
      <c r="I64" s="43">
        <f>IF('Обобщенный расчет'!$L$1=1,'Исходные данные'!$E$78*'Детальный расчет'!I23,0)+IF('Обобщенный расчет'!$L$1=2,'Исходные данные'!$E$79*I47,0)+IF('Обобщенный расчет'!$L$1=3,'Исходные данные'!$J$80,0)</f>
        <v>2670</v>
      </c>
      <c r="J64" s="43">
        <f>IF('Обобщенный расчет'!$L$1=1,'Исходные данные'!$E$78*'Детальный расчет'!J23,0)+IF('Обобщенный расчет'!$L$1=2,'Исходные данные'!$E$79*J47,0)+IF('Обобщенный расчет'!$L$1=3,'Исходные данные'!$J$80,0)</f>
        <v>3240</v>
      </c>
      <c r="K64" s="43">
        <f>IF('Обобщенный расчет'!$L$1=1,'Исходные данные'!$E$78*'Детальный расчет'!K23,0)+IF('Обобщенный расчет'!$L$1=2,'Исходные данные'!$E$79*K47,0)+IF('Обобщенный расчет'!$L$1=3,'Исходные данные'!$J$80,0)</f>
        <v>5610</v>
      </c>
      <c r="L64" s="43">
        <f>IF('Обобщенный расчет'!$L$1=1,'Исходные данные'!$E$78*'Детальный расчет'!L23,0)+IF('Обобщенный расчет'!$L$1=2,'Исходные данные'!$E$79*L47,0)+IF('Обобщенный расчет'!$L$1=3,'Исходные данные'!$J$80,0)</f>
        <v>2670</v>
      </c>
      <c r="M64" s="43">
        <f>IF('Обобщенный расчет'!$L$1=1,'Исходные данные'!$E$78*'Детальный расчет'!M23,0)+IF('Обобщенный расчет'!$L$1=2,'Исходные данные'!$E$79*M47,0)+IF('Обобщенный расчет'!$L$1=3,'Исходные данные'!$J$80,0)</f>
        <v>3240</v>
      </c>
      <c r="N64" s="43">
        <f>IF('Обобщенный расчет'!$L$1=1,'Исходные данные'!$E$78*'Детальный расчет'!N23,0)+IF('Обобщенный расчет'!$L$1=2,'Исходные данные'!$E$79*N47,0)+IF('Обобщенный расчет'!$L$1=3,'Исходные данные'!$J$80,0)</f>
        <v>5610</v>
      </c>
      <c r="O64" s="44">
        <f t="shared" ref="O64" si="153">SUM(C64:N64)</f>
        <v>44070</v>
      </c>
      <c r="P64" s="44">
        <f t="shared" ref="P64" si="154">O64/12</f>
        <v>3672.5</v>
      </c>
      <c r="Q64" s="43">
        <f>IF('Обобщенный расчет'!$L$1=1,'Исходные данные'!$E$78*'Детальный расчет'!Q23,0)+IF('Обобщенный расчет'!$L$1=2,'Исходные данные'!$E$79*Q47,0)+IF('Обобщенный расчет'!$L$1=3,'Исходные данные'!$J$80,0)</f>
        <v>3204</v>
      </c>
      <c r="R64" s="43">
        <f>IF('Обобщенный расчет'!$L$1=1,'Исходные данные'!$E$78*'Детальный расчет'!R23,0)+IF('Обобщенный расчет'!$L$1=2,'Исходные данные'!$E$79*R47,0)+IF('Обобщенный расчет'!$L$1=3,'Исходные данные'!$J$80,0)</f>
        <v>3888</v>
      </c>
      <c r="S64" s="43">
        <f>IF('Обобщенный расчет'!$L$1=1,'Исходные данные'!$E$78*'Детальный расчет'!S23,0)+IF('Обобщенный расчет'!$L$1=2,'Исходные данные'!$E$79*S47,0)+IF('Обобщенный расчет'!$L$1=3,'Исходные данные'!$J$80,0)</f>
        <v>6732</v>
      </c>
      <c r="T64" s="43">
        <f>IF('Обобщенный расчет'!$L$1=1,'Исходные данные'!$E$78*'Детальный расчет'!T23,0)+IF('Обобщенный расчет'!$L$1=2,'Исходные данные'!$E$79*T47,0)+IF('Обобщенный расчет'!$L$1=3,'Исходные данные'!$J$80,0)</f>
        <v>3204</v>
      </c>
      <c r="U64" s="43">
        <f>IF('Обобщенный расчет'!$L$1=1,'Исходные данные'!$E$78*'Детальный расчет'!U23,0)+IF('Обобщенный расчет'!$L$1=2,'Исходные данные'!$E$79*U47,0)+IF('Обобщенный расчет'!$L$1=3,'Исходные данные'!$J$80,0)</f>
        <v>3888</v>
      </c>
      <c r="V64" s="43">
        <f>IF('Обобщенный расчет'!$L$1=1,'Исходные данные'!$E$78*'Детальный расчет'!V23,0)+IF('Обобщенный расчет'!$L$1=2,'Исходные данные'!$E$79*V47,0)+IF('Обобщенный расчет'!$L$1=3,'Исходные данные'!$J$80,0)</f>
        <v>6732</v>
      </c>
      <c r="W64" s="43">
        <f>IF('Обобщенный расчет'!$L$1=1,'Исходные данные'!$E$78*'Детальный расчет'!W23,0)+IF('Обобщенный расчет'!$L$1=2,'Исходные данные'!$E$79*W47,0)+IF('Обобщенный расчет'!$L$1=3,'Исходные данные'!$J$80,0)</f>
        <v>3204</v>
      </c>
      <c r="X64" s="43">
        <f>IF('Обобщенный расчет'!$L$1=1,'Исходные данные'!$E$78*'Детальный расчет'!X23,0)+IF('Обобщенный расчет'!$L$1=2,'Исходные данные'!$E$79*X47,0)+IF('Обобщенный расчет'!$L$1=3,'Исходные данные'!$J$80,0)</f>
        <v>3888</v>
      </c>
      <c r="Y64" s="43">
        <f>IF('Обобщенный расчет'!$L$1=1,'Исходные данные'!$E$78*'Детальный расчет'!Y23,0)+IF('Обобщенный расчет'!$L$1=2,'Исходные данные'!$E$79*Y47,0)+IF('Обобщенный расчет'!$L$1=3,'Исходные данные'!$J$80,0)</f>
        <v>6732</v>
      </c>
      <c r="Z64" s="43">
        <f>IF('Обобщенный расчет'!$L$1=1,'Исходные данные'!$E$78*'Детальный расчет'!Z23,0)+IF('Обобщенный расчет'!$L$1=2,'Исходные данные'!$E$79*Z47,0)+IF('Обобщенный расчет'!$L$1=3,'Исходные данные'!$J$80,0)</f>
        <v>3204</v>
      </c>
      <c r="AA64" s="43">
        <f>IF('Обобщенный расчет'!$L$1=1,'Исходные данные'!$E$78*'Детальный расчет'!AA23,0)+IF('Обобщенный расчет'!$L$1=2,'Исходные данные'!$E$79*AA47,0)+IF('Обобщенный расчет'!$L$1=3,'Исходные данные'!$J$80,0)</f>
        <v>3888</v>
      </c>
      <c r="AB64" s="43">
        <f>IF('Обобщенный расчет'!$L$1=1,'Исходные данные'!$E$78*'Детальный расчет'!AB23,0)+IF('Обобщенный расчет'!$L$1=2,'Исходные данные'!$E$79*AB47,0)+IF('Обобщенный расчет'!$L$1=3,'Исходные данные'!$J$80,0)</f>
        <v>6732</v>
      </c>
      <c r="AC64" s="44">
        <f t="shared" ref="AC64" si="155">SUM(Q64:AB64)</f>
        <v>55296</v>
      </c>
      <c r="AD64" s="44">
        <f t="shared" ref="AD64" si="156">AC64/12</f>
        <v>4608</v>
      </c>
      <c r="AE64" s="43">
        <f>IF('Обобщенный расчет'!$L$1=1,'Исходные данные'!$E$78*'Детальный расчет'!AE23,0)+IF('Обобщенный расчет'!$L$1=2,'Исходные данные'!$E$79*AE47,0)+IF('Обобщенный расчет'!$L$1=3,'Исходные данные'!$J$80,0)</f>
        <v>3738</v>
      </c>
      <c r="AF64" s="43">
        <f>IF('Обобщенный расчет'!$L$1=1,'Исходные данные'!$E$78*'Детальный расчет'!AF23,0)+IF('Обобщенный расчет'!$L$1=2,'Исходные данные'!$E$79*AF47,0)+IF('Обобщенный расчет'!$L$1=3,'Исходные данные'!$J$80,0)</f>
        <v>4536</v>
      </c>
      <c r="AG64" s="43">
        <f>IF('Обобщенный расчет'!$L$1=1,'Исходные данные'!$E$78*'Детальный расчет'!AG23,0)+IF('Обобщенный расчет'!$L$1=2,'Исходные данные'!$E$79*AG47,0)+IF('Обобщенный расчет'!$L$1=3,'Исходные данные'!$J$80,0)</f>
        <v>7854</v>
      </c>
      <c r="AH64" s="43">
        <f>IF('Обобщенный расчет'!$L$1=1,'Исходные данные'!$E$78*'Детальный расчет'!AH23,0)+IF('Обобщенный расчет'!$L$1=2,'Исходные данные'!$E$79*AH47,0)+IF('Обобщенный расчет'!$L$1=3,'Исходные данные'!$J$80,0)</f>
        <v>3738</v>
      </c>
      <c r="AI64" s="43">
        <f>IF('Обобщенный расчет'!$L$1=1,'Исходные данные'!$E$78*'Детальный расчет'!AI23,0)+IF('Обобщенный расчет'!$L$1=2,'Исходные данные'!$E$79*AI47,0)+IF('Обобщенный расчет'!$L$1=3,'Исходные данные'!$J$80,0)</f>
        <v>4536</v>
      </c>
      <c r="AJ64" s="43">
        <f>IF('Обобщенный расчет'!$L$1=1,'Исходные данные'!$E$78*'Детальный расчет'!AJ23,0)+IF('Обобщенный расчет'!$L$1=2,'Исходные данные'!$E$79*AJ47,0)+IF('Обобщенный расчет'!$L$1=3,'Исходные данные'!$J$80,0)</f>
        <v>7854</v>
      </c>
      <c r="AK64" s="43">
        <f>IF('Обобщенный расчет'!$L$1=1,'Исходные данные'!$E$78*'Детальный расчет'!AK23,0)+IF('Обобщенный расчет'!$L$1=2,'Исходные данные'!$E$79*AK47,0)+IF('Обобщенный расчет'!$L$1=3,'Исходные данные'!$J$80,0)</f>
        <v>3738</v>
      </c>
      <c r="AL64" s="43">
        <f>IF('Обобщенный расчет'!$L$1=1,'Исходные данные'!$E$78*'Детальный расчет'!AL23,0)+IF('Обобщенный расчет'!$L$1=2,'Исходные данные'!$E$79*AL47,0)+IF('Обобщенный расчет'!$L$1=3,'Исходные данные'!$J$80,0)</f>
        <v>4536</v>
      </c>
      <c r="AM64" s="43">
        <f>IF('Обобщенный расчет'!$L$1=1,'Исходные данные'!$E$78*'Детальный расчет'!AM23,0)+IF('Обобщенный расчет'!$L$1=2,'Исходные данные'!$E$79*AM47,0)+IF('Обобщенный расчет'!$L$1=3,'Исходные данные'!$J$80,0)</f>
        <v>7854</v>
      </c>
      <c r="AN64" s="43">
        <f>IF('Обобщенный расчет'!$L$1=1,'Исходные данные'!$E$78*'Детальный расчет'!AN23,0)+IF('Обобщенный расчет'!$L$1=2,'Исходные данные'!$E$79*AN47,0)+IF('Обобщенный расчет'!$L$1=3,'Исходные данные'!$J$80,0)</f>
        <v>3738</v>
      </c>
      <c r="AO64" s="43">
        <f>IF('Обобщенный расчет'!$L$1=1,'Исходные данные'!$E$78*'Детальный расчет'!AO23,0)+IF('Обобщенный расчет'!$L$1=2,'Исходные данные'!$E$79*AO47,0)+IF('Обобщенный расчет'!$L$1=3,'Исходные данные'!$J$80,0)</f>
        <v>4536</v>
      </c>
      <c r="AP64" s="43">
        <f>IF('Обобщенный расчет'!$L$1=1,'Исходные данные'!$E$78*'Детальный расчет'!AP23,0)+IF('Обобщенный расчет'!$L$1=2,'Исходные данные'!$E$79*AP47,0)+IF('Обобщенный расчет'!$L$1=3,'Исходные данные'!$J$80,0)</f>
        <v>7854</v>
      </c>
      <c r="AQ64" s="44">
        <f t="shared" ref="AQ64" si="157">SUM(AE64:AP64)</f>
        <v>64512</v>
      </c>
      <c r="AR64" s="44">
        <f t="shared" ref="AR64" si="158">AQ64/12</f>
        <v>5376</v>
      </c>
      <c r="AS64" s="45">
        <f t="shared" ref="AS64" si="159">O64+AC64+AQ64</f>
        <v>163878</v>
      </c>
      <c r="AT64" s="46"/>
    </row>
    <row r="65" spans="1:46" s="52" customFormat="1" ht="11.25">
      <c r="A65" s="64" t="str">
        <f>'Обобщенный расчет'!B50</f>
        <v>Прочее</v>
      </c>
      <c r="B65" s="48" t="str">
        <f>CHOOSE('Исходные данные'!$S$2,'Исходные данные'!$T$2,'Исходные данные'!$T$3,'Исходные данные'!$T$4,'Исходные данные'!$T$5)</f>
        <v>RUB</v>
      </c>
      <c r="C65" s="49">
        <f>'Исходные данные'!$J$81</f>
        <v>0</v>
      </c>
      <c r="D65" s="49">
        <f>'Исходные данные'!$J$81</f>
        <v>0</v>
      </c>
      <c r="E65" s="49">
        <f>'Исходные данные'!$J$81</f>
        <v>0</v>
      </c>
      <c r="F65" s="49">
        <f>'Исходные данные'!$J$81</f>
        <v>0</v>
      </c>
      <c r="G65" s="49">
        <f>'Исходные данные'!$J$81</f>
        <v>0</v>
      </c>
      <c r="H65" s="49">
        <f>'Исходные данные'!$J$81</f>
        <v>0</v>
      </c>
      <c r="I65" s="49">
        <f>'Исходные данные'!$J$81</f>
        <v>0</v>
      </c>
      <c r="J65" s="49">
        <f>'Исходные данные'!$J$81</f>
        <v>0</v>
      </c>
      <c r="K65" s="49">
        <f>'Исходные данные'!$J$81</f>
        <v>0</v>
      </c>
      <c r="L65" s="49">
        <f>'Исходные данные'!$J$81</f>
        <v>0</v>
      </c>
      <c r="M65" s="49">
        <f>'Исходные данные'!$J$81</f>
        <v>0</v>
      </c>
      <c r="N65" s="49">
        <f>'Исходные данные'!$J$81</f>
        <v>0</v>
      </c>
      <c r="O65" s="50">
        <f t="shared" ref="O65" si="160">SUM(C65:N65)</f>
        <v>0</v>
      </c>
      <c r="P65" s="50">
        <f t="shared" ref="P65" si="161">O65/12</f>
        <v>0</v>
      </c>
      <c r="Q65" s="49">
        <f>'Исходные данные'!$J$81</f>
        <v>0</v>
      </c>
      <c r="R65" s="49">
        <f>'Исходные данные'!$J$81</f>
        <v>0</v>
      </c>
      <c r="S65" s="49">
        <f>'Исходные данные'!$J$81</f>
        <v>0</v>
      </c>
      <c r="T65" s="49">
        <f>'Исходные данные'!$J$81</f>
        <v>0</v>
      </c>
      <c r="U65" s="49">
        <f>'Исходные данные'!$J$81</f>
        <v>0</v>
      </c>
      <c r="V65" s="49">
        <f>'Исходные данные'!$J$81</f>
        <v>0</v>
      </c>
      <c r="W65" s="49">
        <f>'Исходные данные'!$J$81</f>
        <v>0</v>
      </c>
      <c r="X65" s="49">
        <f>'Исходные данные'!$J$81</f>
        <v>0</v>
      </c>
      <c r="Y65" s="49">
        <f>'Исходные данные'!$J$81</f>
        <v>0</v>
      </c>
      <c r="Z65" s="49">
        <f>'Исходные данные'!$J$81</f>
        <v>0</v>
      </c>
      <c r="AA65" s="49">
        <f>'Исходные данные'!$J$81</f>
        <v>0</v>
      </c>
      <c r="AB65" s="49">
        <f>'Исходные данные'!$J$81</f>
        <v>0</v>
      </c>
      <c r="AC65" s="50">
        <f t="shared" ref="AC65" si="162">SUM(Q65:AB65)</f>
        <v>0</v>
      </c>
      <c r="AD65" s="50">
        <f t="shared" ref="AD65" si="163">AC65/12</f>
        <v>0</v>
      </c>
      <c r="AE65" s="49">
        <f>'Исходные данные'!$J$81</f>
        <v>0</v>
      </c>
      <c r="AF65" s="49">
        <f>'Исходные данные'!$J$81</f>
        <v>0</v>
      </c>
      <c r="AG65" s="49">
        <f>'Исходные данные'!$J$81</f>
        <v>0</v>
      </c>
      <c r="AH65" s="49">
        <f>'Исходные данные'!$J$81</f>
        <v>0</v>
      </c>
      <c r="AI65" s="49">
        <f>'Исходные данные'!$J$81</f>
        <v>0</v>
      </c>
      <c r="AJ65" s="49">
        <f>'Исходные данные'!$J$81</f>
        <v>0</v>
      </c>
      <c r="AK65" s="49">
        <f>'Исходные данные'!$J$81</f>
        <v>0</v>
      </c>
      <c r="AL65" s="49">
        <f>'Исходные данные'!$J$81</f>
        <v>0</v>
      </c>
      <c r="AM65" s="49">
        <f>'Исходные данные'!$J$81</f>
        <v>0</v>
      </c>
      <c r="AN65" s="49">
        <f>'Исходные данные'!$J$81</f>
        <v>0</v>
      </c>
      <c r="AO65" s="49">
        <f>'Исходные данные'!$J$81</f>
        <v>0</v>
      </c>
      <c r="AP65" s="49">
        <f>'Исходные данные'!$J$81</f>
        <v>0</v>
      </c>
      <c r="AQ65" s="50">
        <f t="shared" ref="AQ65" si="164">SUM(AE65:AP65)</f>
        <v>0</v>
      </c>
      <c r="AR65" s="50">
        <f t="shared" ref="AR65" si="165">AQ65/12</f>
        <v>0</v>
      </c>
      <c r="AS65" s="45">
        <f t="shared" ref="AS65" si="166">O65+AC65+AQ65</f>
        <v>0</v>
      </c>
      <c r="AT65" s="51"/>
    </row>
    <row r="66" spans="1:46" s="30" customFormat="1" ht="11.25">
      <c r="A66" s="75" t="s">
        <v>9</v>
      </c>
      <c r="B66" s="76" t="str">
        <f>CHOOSE('Исходные данные'!$S$2,'Исходные данные'!$T$2,'Исходные данные'!$T$3,'Исходные данные'!$T$4,'Исходные данные'!$T$5)</f>
        <v>RUB</v>
      </c>
      <c r="C66" s="77">
        <f t="shared" ref="C66:AS66" si="167">SUM(C49:C65)</f>
        <v>136819</v>
      </c>
      <c r="D66" s="77">
        <f t="shared" si="167"/>
        <v>136042</v>
      </c>
      <c r="E66" s="77">
        <f t="shared" si="167"/>
        <v>138499</v>
      </c>
      <c r="F66" s="77">
        <f t="shared" si="167"/>
        <v>137620</v>
      </c>
      <c r="G66" s="77">
        <f t="shared" si="167"/>
        <v>136690</v>
      </c>
      <c r="H66" s="77">
        <f t="shared" si="167"/>
        <v>139060</v>
      </c>
      <c r="I66" s="77">
        <f t="shared" si="167"/>
        <v>137620</v>
      </c>
      <c r="J66" s="77">
        <f t="shared" si="167"/>
        <v>136690</v>
      </c>
      <c r="K66" s="77">
        <f t="shared" si="167"/>
        <v>139060</v>
      </c>
      <c r="L66" s="77">
        <f t="shared" si="167"/>
        <v>137620</v>
      </c>
      <c r="M66" s="77">
        <f t="shared" si="167"/>
        <v>136690</v>
      </c>
      <c r="N66" s="77">
        <f t="shared" si="167"/>
        <v>139060</v>
      </c>
      <c r="O66" s="77">
        <f t="shared" si="167"/>
        <v>1651470</v>
      </c>
      <c r="P66" s="77">
        <f t="shared" si="167"/>
        <v>137622.5</v>
      </c>
      <c r="Q66" s="77">
        <f t="shared" si="167"/>
        <v>157684</v>
      </c>
      <c r="R66" s="77">
        <f t="shared" si="167"/>
        <v>156868</v>
      </c>
      <c r="S66" s="77">
        <f t="shared" si="167"/>
        <v>159712</v>
      </c>
      <c r="T66" s="77">
        <f t="shared" si="167"/>
        <v>157684</v>
      </c>
      <c r="U66" s="77">
        <f t="shared" si="167"/>
        <v>156868</v>
      </c>
      <c r="V66" s="77">
        <f t="shared" si="167"/>
        <v>159712</v>
      </c>
      <c r="W66" s="77">
        <f t="shared" si="167"/>
        <v>157684</v>
      </c>
      <c r="X66" s="77">
        <f t="shared" si="167"/>
        <v>156868</v>
      </c>
      <c r="Y66" s="77">
        <f t="shared" si="167"/>
        <v>159712</v>
      </c>
      <c r="Z66" s="77">
        <f t="shared" si="167"/>
        <v>157684</v>
      </c>
      <c r="AA66" s="77">
        <f t="shared" si="167"/>
        <v>156868</v>
      </c>
      <c r="AB66" s="77">
        <f t="shared" si="167"/>
        <v>159712</v>
      </c>
      <c r="AC66" s="77">
        <f t="shared" si="167"/>
        <v>1897056</v>
      </c>
      <c r="AD66" s="77">
        <f t="shared" si="167"/>
        <v>158088</v>
      </c>
      <c r="AE66" s="77">
        <f t="shared" si="167"/>
        <v>177748</v>
      </c>
      <c r="AF66" s="77">
        <f t="shared" si="167"/>
        <v>177046</v>
      </c>
      <c r="AG66" s="77">
        <f t="shared" si="167"/>
        <v>180364</v>
      </c>
      <c r="AH66" s="77">
        <f t="shared" si="167"/>
        <v>177748</v>
      </c>
      <c r="AI66" s="77">
        <f t="shared" si="167"/>
        <v>177046</v>
      </c>
      <c r="AJ66" s="77">
        <f t="shared" si="167"/>
        <v>180364</v>
      </c>
      <c r="AK66" s="77">
        <f t="shared" si="167"/>
        <v>177748</v>
      </c>
      <c r="AL66" s="77">
        <f t="shared" si="167"/>
        <v>177046</v>
      </c>
      <c r="AM66" s="77">
        <f t="shared" si="167"/>
        <v>180364</v>
      </c>
      <c r="AN66" s="77">
        <f t="shared" si="167"/>
        <v>177748</v>
      </c>
      <c r="AO66" s="77">
        <f t="shared" si="167"/>
        <v>177046</v>
      </c>
      <c r="AP66" s="77">
        <f t="shared" si="167"/>
        <v>180364</v>
      </c>
      <c r="AQ66" s="77">
        <f t="shared" si="167"/>
        <v>2140632</v>
      </c>
      <c r="AR66" s="77">
        <f t="shared" si="167"/>
        <v>178386</v>
      </c>
      <c r="AS66" s="77">
        <f t="shared" si="167"/>
        <v>5689158</v>
      </c>
    </row>
    <row r="67" spans="1:46" s="18" customFormat="1" ht="12" thickBot="1">
      <c r="A67" s="78"/>
      <c r="B67" s="79"/>
      <c r="C67" s="80"/>
      <c r="D67" s="80"/>
      <c r="E67" s="80"/>
      <c r="F67" s="80"/>
      <c r="G67" s="80"/>
      <c r="H67" s="80"/>
      <c r="I67" s="78"/>
      <c r="J67" s="78"/>
      <c r="K67" s="78"/>
      <c r="L67" s="78"/>
      <c r="M67" s="78"/>
      <c r="N67" s="78"/>
      <c r="O67" s="81"/>
      <c r="P67" s="81"/>
      <c r="Q67" s="80"/>
      <c r="R67" s="80"/>
      <c r="S67" s="80"/>
      <c r="T67" s="80"/>
      <c r="U67" s="80"/>
      <c r="V67" s="80"/>
      <c r="W67" s="78"/>
      <c r="X67" s="78"/>
      <c r="Y67" s="78"/>
      <c r="Z67" s="78"/>
      <c r="AA67" s="78"/>
      <c r="AB67" s="78"/>
      <c r="AC67" s="81"/>
      <c r="AD67" s="81"/>
      <c r="AE67" s="80"/>
      <c r="AF67" s="80"/>
      <c r="AG67" s="80"/>
      <c r="AH67" s="80"/>
      <c r="AI67" s="80"/>
      <c r="AJ67" s="80"/>
      <c r="AK67" s="78"/>
      <c r="AL67" s="78"/>
      <c r="AM67" s="78"/>
      <c r="AN67" s="78"/>
      <c r="AO67" s="78"/>
      <c r="AP67" s="78"/>
      <c r="AQ67" s="81"/>
      <c r="AR67" s="81"/>
      <c r="AS67" s="78"/>
    </row>
    <row r="68" spans="1:46" s="41" customFormat="1" ht="24" thickTop="1" thickBot="1">
      <c r="A68" s="37" t="s">
        <v>10</v>
      </c>
      <c r="B68" s="38"/>
      <c r="C68" s="38" t="str">
        <f t="shared" ref="C68:N68" si="168">C$6</f>
        <v>январь</v>
      </c>
      <c r="D68" s="38" t="str">
        <f t="shared" si="168"/>
        <v>февраль</v>
      </c>
      <c r="E68" s="38" t="str">
        <f t="shared" si="168"/>
        <v>март</v>
      </c>
      <c r="F68" s="38" t="str">
        <f t="shared" si="168"/>
        <v>апрель</v>
      </c>
      <c r="G68" s="38" t="str">
        <f t="shared" si="168"/>
        <v>май</v>
      </c>
      <c r="H68" s="38" t="str">
        <f t="shared" si="168"/>
        <v>июнь</v>
      </c>
      <c r="I68" s="38" t="str">
        <f t="shared" si="168"/>
        <v>июль</v>
      </c>
      <c r="J68" s="38" t="str">
        <f t="shared" si="168"/>
        <v>август</v>
      </c>
      <c r="K68" s="38" t="str">
        <f t="shared" si="168"/>
        <v>сентябрь</v>
      </c>
      <c r="L68" s="38" t="str">
        <f t="shared" si="168"/>
        <v>октябрь</v>
      </c>
      <c r="M68" s="38" t="str">
        <f t="shared" si="168"/>
        <v>ноябрь</v>
      </c>
      <c r="N68" s="38" t="str">
        <f t="shared" si="168"/>
        <v>декабрь</v>
      </c>
      <c r="O68" s="62" t="str">
        <f>O48</f>
        <v>Итого за 1-й год</v>
      </c>
      <c r="P68" s="62" t="str">
        <f>P48</f>
        <v>Среднемесячно за 1-й год</v>
      </c>
      <c r="Q68" s="38" t="str">
        <f t="shared" ref="Q68:AB68" si="169">Q$6</f>
        <v>январь</v>
      </c>
      <c r="R68" s="38" t="str">
        <f t="shared" si="169"/>
        <v>февраль</v>
      </c>
      <c r="S68" s="38" t="str">
        <f t="shared" si="169"/>
        <v>март</v>
      </c>
      <c r="T68" s="38" t="str">
        <f t="shared" si="169"/>
        <v>апрель</v>
      </c>
      <c r="U68" s="38" t="str">
        <f t="shared" si="169"/>
        <v>май</v>
      </c>
      <c r="V68" s="38" t="str">
        <f t="shared" si="169"/>
        <v>июнь</v>
      </c>
      <c r="W68" s="38" t="str">
        <f t="shared" si="169"/>
        <v>июль</v>
      </c>
      <c r="X68" s="38" t="str">
        <f t="shared" si="169"/>
        <v>август</v>
      </c>
      <c r="Y68" s="38" t="str">
        <f t="shared" si="169"/>
        <v>сентябрь</v>
      </c>
      <c r="Z68" s="38" t="str">
        <f t="shared" si="169"/>
        <v>октябрь</v>
      </c>
      <c r="AA68" s="38" t="str">
        <f t="shared" si="169"/>
        <v>ноябрь</v>
      </c>
      <c r="AB68" s="38" t="str">
        <f t="shared" si="169"/>
        <v>декабрь</v>
      </c>
      <c r="AC68" s="62" t="str">
        <f>AC48</f>
        <v>Итого за 2-й год</v>
      </c>
      <c r="AD68" s="62" t="str">
        <f>AD48</f>
        <v>Среднемесячно за 2-й год</v>
      </c>
      <c r="AE68" s="38" t="str">
        <f t="shared" ref="AE68:AP68" si="170">AE$6</f>
        <v>январь</v>
      </c>
      <c r="AF68" s="38" t="str">
        <f t="shared" si="170"/>
        <v>февраль</v>
      </c>
      <c r="AG68" s="38" t="str">
        <f t="shared" si="170"/>
        <v>март</v>
      </c>
      <c r="AH68" s="38" t="str">
        <f t="shared" si="170"/>
        <v>апрель</v>
      </c>
      <c r="AI68" s="38" t="str">
        <f t="shared" si="170"/>
        <v>май</v>
      </c>
      <c r="AJ68" s="38" t="str">
        <f t="shared" si="170"/>
        <v>июнь</v>
      </c>
      <c r="AK68" s="38" t="str">
        <f t="shared" si="170"/>
        <v>июль</v>
      </c>
      <c r="AL68" s="38" t="str">
        <f t="shared" si="170"/>
        <v>август</v>
      </c>
      <c r="AM68" s="38" t="str">
        <f t="shared" si="170"/>
        <v>сентябрь</v>
      </c>
      <c r="AN68" s="38" t="str">
        <f t="shared" si="170"/>
        <v>октябрь</v>
      </c>
      <c r="AO68" s="38" t="str">
        <f t="shared" si="170"/>
        <v>ноябрь</v>
      </c>
      <c r="AP68" s="38" t="str">
        <f t="shared" si="170"/>
        <v>декабрь</v>
      </c>
      <c r="AQ68" s="62" t="str">
        <f>AQ48</f>
        <v>Итого за 3-й год</v>
      </c>
      <c r="AR68" s="62" t="str">
        <f>AR48</f>
        <v>Среднемесячно за 3-й год</v>
      </c>
      <c r="AS68" s="82" t="str">
        <f>AS48</f>
        <v>Итого за три года</v>
      </c>
    </row>
    <row r="69" spans="1:46" s="41" customFormat="1" ht="12" thickTop="1">
      <c r="A69" s="83" t="s">
        <v>11</v>
      </c>
      <c r="B69" s="42" t="str">
        <f>CHOOSE('Исходные данные'!$S$2,'Исходные данные'!$T$2,'Исходные данные'!$T$3,'Исходные данные'!$T$4,'Исходные данные'!$T$5)</f>
        <v>RUB</v>
      </c>
      <c r="C69" s="84">
        <f t="shared" ref="C69:N69" si="171">C23</f>
        <v>186900</v>
      </c>
      <c r="D69" s="84">
        <f t="shared" si="171"/>
        <v>259200</v>
      </c>
      <c r="E69" s="84">
        <f t="shared" si="171"/>
        <v>504900</v>
      </c>
      <c r="F69" s="84">
        <f t="shared" si="171"/>
        <v>267000</v>
      </c>
      <c r="G69" s="84">
        <f t="shared" si="171"/>
        <v>324000</v>
      </c>
      <c r="H69" s="84">
        <f t="shared" si="171"/>
        <v>561000</v>
      </c>
      <c r="I69" s="84">
        <f t="shared" si="171"/>
        <v>267000</v>
      </c>
      <c r="J69" s="84">
        <f t="shared" si="171"/>
        <v>324000</v>
      </c>
      <c r="K69" s="84">
        <f t="shared" si="171"/>
        <v>561000</v>
      </c>
      <c r="L69" s="84">
        <f t="shared" si="171"/>
        <v>267000</v>
      </c>
      <c r="M69" s="84">
        <f t="shared" si="171"/>
        <v>324000</v>
      </c>
      <c r="N69" s="84">
        <f t="shared" si="171"/>
        <v>561000</v>
      </c>
      <c r="O69" s="85">
        <f t="shared" ref="O69:O74" si="172">SUM(C69:N69)</f>
        <v>4407000</v>
      </c>
      <c r="P69" s="85">
        <f t="shared" ref="P69:P74" si="173">O69/12</f>
        <v>367250</v>
      </c>
      <c r="Q69" s="84">
        <f t="shared" ref="Q69:AB69" si="174">Q23</f>
        <v>320400</v>
      </c>
      <c r="R69" s="84">
        <f t="shared" si="174"/>
        <v>388800</v>
      </c>
      <c r="S69" s="84">
        <f t="shared" si="174"/>
        <v>673200</v>
      </c>
      <c r="T69" s="84">
        <f t="shared" si="174"/>
        <v>320400</v>
      </c>
      <c r="U69" s="84">
        <f t="shared" si="174"/>
        <v>388800</v>
      </c>
      <c r="V69" s="84">
        <f t="shared" si="174"/>
        <v>673200</v>
      </c>
      <c r="W69" s="84">
        <f t="shared" si="174"/>
        <v>320400</v>
      </c>
      <c r="X69" s="84">
        <f t="shared" si="174"/>
        <v>388800</v>
      </c>
      <c r="Y69" s="84">
        <f t="shared" si="174"/>
        <v>673200</v>
      </c>
      <c r="Z69" s="84">
        <f t="shared" si="174"/>
        <v>320400</v>
      </c>
      <c r="AA69" s="84">
        <f t="shared" si="174"/>
        <v>388800</v>
      </c>
      <c r="AB69" s="84">
        <f t="shared" si="174"/>
        <v>673200</v>
      </c>
      <c r="AC69" s="85">
        <f t="shared" ref="AC69:AC74" si="175">SUM(Q69:AB69)</f>
        <v>5529600</v>
      </c>
      <c r="AD69" s="85">
        <f t="shared" ref="AD69:AD74" si="176">AC69/12</f>
        <v>460800</v>
      </c>
      <c r="AE69" s="84">
        <f t="shared" ref="AE69:AP69" si="177">AE23</f>
        <v>373800</v>
      </c>
      <c r="AF69" s="84">
        <f t="shared" si="177"/>
        <v>453600</v>
      </c>
      <c r="AG69" s="84">
        <f t="shared" si="177"/>
        <v>785400</v>
      </c>
      <c r="AH69" s="84">
        <f t="shared" si="177"/>
        <v>373800</v>
      </c>
      <c r="AI69" s="84">
        <f t="shared" si="177"/>
        <v>453600</v>
      </c>
      <c r="AJ69" s="84">
        <f t="shared" si="177"/>
        <v>785400</v>
      </c>
      <c r="AK69" s="84">
        <f t="shared" si="177"/>
        <v>373800</v>
      </c>
      <c r="AL69" s="84">
        <f t="shared" si="177"/>
        <v>453600</v>
      </c>
      <c r="AM69" s="84">
        <f t="shared" si="177"/>
        <v>785400</v>
      </c>
      <c r="AN69" s="84">
        <f t="shared" si="177"/>
        <v>373800</v>
      </c>
      <c r="AO69" s="84">
        <f t="shared" si="177"/>
        <v>453600</v>
      </c>
      <c r="AP69" s="84">
        <f t="shared" si="177"/>
        <v>785400</v>
      </c>
      <c r="AQ69" s="85">
        <f t="shared" ref="AQ69:AQ74" si="178">SUM(AE69:AP69)</f>
        <v>6451200</v>
      </c>
      <c r="AR69" s="85">
        <f t="shared" ref="AR69:AR74" si="179">AQ69/12</f>
        <v>537600</v>
      </c>
      <c r="AS69" s="86">
        <f t="shared" ref="AS69:AS74" si="180">O69+AC69+AQ69</f>
        <v>16387800</v>
      </c>
    </row>
    <row r="70" spans="1:46" s="41" customFormat="1" ht="11.25">
      <c r="A70" s="65" t="str">
        <f>"- Себестоимость"</f>
        <v>- Себестоимость</v>
      </c>
      <c r="B70" s="42" t="str">
        <f>CHOOSE('Исходные данные'!$S$2,'Исходные данные'!$T$2,'Исходные данные'!$T$3,'Исходные данные'!$T$4,'Исходные данные'!$T$5)</f>
        <v>RUB</v>
      </c>
      <c r="C70" s="84">
        <f>C32</f>
        <v>74900</v>
      </c>
      <c r="D70" s="84">
        <f t="shared" ref="D70:N70" si="181">D32</f>
        <v>103600</v>
      </c>
      <c r="E70" s="84">
        <f t="shared" si="181"/>
        <v>201600</v>
      </c>
      <c r="F70" s="84">
        <f t="shared" si="181"/>
        <v>107000</v>
      </c>
      <c r="G70" s="84">
        <f t="shared" si="181"/>
        <v>129500</v>
      </c>
      <c r="H70" s="84">
        <f t="shared" si="181"/>
        <v>224000</v>
      </c>
      <c r="I70" s="84">
        <f t="shared" si="181"/>
        <v>107000</v>
      </c>
      <c r="J70" s="84">
        <f t="shared" si="181"/>
        <v>129500</v>
      </c>
      <c r="K70" s="84">
        <f t="shared" si="181"/>
        <v>224000</v>
      </c>
      <c r="L70" s="84">
        <f t="shared" si="181"/>
        <v>107000</v>
      </c>
      <c r="M70" s="84">
        <f t="shared" si="181"/>
        <v>129500</v>
      </c>
      <c r="N70" s="84">
        <f t="shared" si="181"/>
        <v>224000</v>
      </c>
      <c r="O70" s="85">
        <f t="shared" si="172"/>
        <v>1761600</v>
      </c>
      <c r="P70" s="85">
        <f t="shared" si="173"/>
        <v>146800</v>
      </c>
      <c r="Q70" s="84">
        <f>Q32</f>
        <v>128400</v>
      </c>
      <c r="R70" s="84">
        <f t="shared" ref="R70:AB70" si="182">R32</f>
        <v>155400</v>
      </c>
      <c r="S70" s="84">
        <f t="shared" si="182"/>
        <v>268800</v>
      </c>
      <c r="T70" s="84">
        <f t="shared" si="182"/>
        <v>128400</v>
      </c>
      <c r="U70" s="84">
        <f t="shared" si="182"/>
        <v>155400</v>
      </c>
      <c r="V70" s="84">
        <f t="shared" si="182"/>
        <v>268800</v>
      </c>
      <c r="W70" s="84">
        <f t="shared" si="182"/>
        <v>128400</v>
      </c>
      <c r="X70" s="84">
        <f t="shared" si="182"/>
        <v>155400</v>
      </c>
      <c r="Y70" s="84">
        <f t="shared" si="182"/>
        <v>268800</v>
      </c>
      <c r="Z70" s="84">
        <f t="shared" si="182"/>
        <v>128400</v>
      </c>
      <c r="AA70" s="84">
        <f t="shared" si="182"/>
        <v>155400</v>
      </c>
      <c r="AB70" s="84">
        <f t="shared" si="182"/>
        <v>268800</v>
      </c>
      <c r="AC70" s="85">
        <f t="shared" si="175"/>
        <v>2210400</v>
      </c>
      <c r="AD70" s="85">
        <f t="shared" si="176"/>
        <v>184200</v>
      </c>
      <c r="AE70" s="84">
        <f>AE32</f>
        <v>149800</v>
      </c>
      <c r="AF70" s="84">
        <f t="shared" ref="AF70:AP70" si="183">AF32</f>
        <v>181300</v>
      </c>
      <c r="AG70" s="84">
        <f t="shared" si="183"/>
        <v>313600</v>
      </c>
      <c r="AH70" s="84">
        <f t="shared" si="183"/>
        <v>149800</v>
      </c>
      <c r="AI70" s="84">
        <f t="shared" si="183"/>
        <v>181300</v>
      </c>
      <c r="AJ70" s="84">
        <f t="shared" si="183"/>
        <v>313600</v>
      </c>
      <c r="AK70" s="84">
        <f t="shared" si="183"/>
        <v>149800</v>
      </c>
      <c r="AL70" s="84">
        <f t="shared" si="183"/>
        <v>181300</v>
      </c>
      <c r="AM70" s="84">
        <f t="shared" si="183"/>
        <v>313600</v>
      </c>
      <c r="AN70" s="84">
        <f t="shared" si="183"/>
        <v>149800</v>
      </c>
      <c r="AO70" s="84">
        <f t="shared" si="183"/>
        <v>181300</v>
      </c>
      <c r="AP70" s="84">
        <f t="shared" si="183"/>
        <v>313600</v>
      </c>
      <c r="AQ70" s="85">
        <f t="shared" si="178"/>
        <v>2578800</v>
      </c>
      <c r="AR70" s="85">
        <f t="shared" si="179"/>
        <v>214900</v>
      </c>
      <c r="AS70" s="86">
        <f t="shared" si="180"/>
        <v>6550800</v>
      </c>
    </row>
    <row r="71" spans="1:46" s="41" customFormat="1" ht="11.25">
      <c r="A71" s="83" t="s">
        <v>12</v>
      </c>
      <c r="B71" s="42" t="str">
        <f>CHOOSE('Исходные данные'!$S$2,'Исходные данные'!$T$2,'Исходные данные'!$T$3,'Исходные данные'!$T$4,'Исходные данные'!$T$5)</f>
        <v>RUB</v>
      </c>
      <c r="C71" s="84">
        <f>C69-C70</f>
        <v>112000</v>
      </c>
      <c r="D71" s="84">
        <f t="shared" ref="D71:N71" si="184">D69-D70</f>
        <v>155600</v>
      </c>
      <c r="E71" s="84">
        <f t="shared" si="184"/>
        <v>303300</v>
      </c>
      <c r="F71" s="84">
        <f t="shared" si="184"/>
        <v>160000</v>
      </c>
      <c r="G71" s="84">
        <f t="shared" si="184"/>
        <v>194500</v>
      </c>
      <c r="H71" s="84">
        <f t="shared" si="184"/>
        <v>337000</v>
      </c>
      <c r="I71" s="84">
        <f t="shared" si="184"/>
        <v>160000</v>
      </c>
      <c r="J71" s="84">
        <f t="shared" si="184"/>
        <v>194500</v>
      </c>
      <c r="K71" s="84">
        <f t="shared" si="184"/>
        <v>337000</v>
      </c>
      <c r="L71" s="84">
        <f t="shared" si="184"/>
        <v>160000</v>
      </c>
      <c r="M71" s="84">
        <f t="shared" si="184"/>
        <v>194500</v>
      </c>
      <c r="N71" s="84">
        <f t="shared" si="184"/>
        <v>337000</v>
      </c>
      <c r="O71" s="85">
        <f t="shared" si="172"/>
        <v>2645400</v>
      </c>
      <c r="P71" s="85">
        <f t="shared" si="173"/>
        <v>220450</v>
      </c>
      <c r="Q71" s="84">
        <f>Q69-Q70</f>
        <v>192000</v>
      </c>
      <c r="R71" s="84">
        <f t="shared" ref="R71:AB71" si="185">R69-R70</f>
        <v>233400</v>
      </c>
      <c r="S71" s="84">
        <f t="shared" si="185"/>
        <v>404400</v>
      </c>
      <c r="T71" s="84">
        <f t="shared" si="185"/>
        <v>192000</v>
      </c>
      <c r="U71" s="84">
        <f t="shared" si="185"/>
        <v>233400</v>
      </c>
      <c r="V71" s="84">
        <f t="shared" si="185"/>
        <v>404400</v>
      </c>
      <c r="W71" s="84">
        <f t="shared" si="185"/>
        <v>192000</v>
      </c>
      <c r="X71" s="84">
        <f t="shared" si="185"/>
        <v>233400</v>
      </c>
      <c r="Y71" s="84">
        <f t="shared" si="185"/>
        <v>404400</v>
      </c>
      <c r="Z71" s="84">
        <f t="shared" si="185"/>
        <v>192000</v>
      </c>
      <c r="AA71" s="84">
        <f t="shared" si="185"/>
        <v>233400</v>
      </c>
      <c r="AB71" s="84">
        <f t="shared" si="185"/>
        <v>404400</v>
      </c>
      <c r="AC71" s="85">
        <f t="shared" si="175"/>
        <v>3319200</v>
      </c>
      <c r="AD71" s="85">
        <f t="shared" si="176"/>
        <v>276600</v>
      </c>
      <c r="AE71" s="84">
        <f>AE69-AE70</f>
        <v>224000</v>
      </c>
      <c r="AF71" s="84">
        <f t="shared" ref="AF71:AP71" si="186">AF69-AF70</f>
        <v>272300</v>
      </c>
      <c r="AG71" s="84">
        <f t="shared" si="186"/>
        <v>471800</v>
      </c>
      <c r="AH71" s="84">
        <f t="shared" si="186"/>
        <v>224000</v>
      </c>
      <c r="AI71" s="84">
        <f t="shared" si="186"/>
        <v>272300</v>
      </c>
      <c r="AJ71" s="84">
        <f t="shared" si="186"/>
        <v>471800</v>
      </c>
      <c r="AK71" s="84">
        <f t="shared" si="186"/>
        <v>224000</v>
      </c>
      <c r="AL71" s="84">
        <f t="shared" si="186"/>
        <v>272300</v>
      </c>
      <c r="AM71" s="84">
        <f t="shared" si="186"/>
        <v>471800</v>
      </c>
      <c r="AN71" s="84">
        <f t="shared" si="186"/>
        <v>224000</v>
      </c>
      <c r="AO71" s="84">
        <f t="shared" si="186"/>
        <v>272300</v>
      </c>
      <c r="AP71" s="84">
        <f t="shared" si="186"/>
        <v>471800</v>
      </c>
      <c r="AQ71" s="85">
        <f t="shared" si="178"/>
        <v>3872400</v>
      </c>
      <c r="AR71" s="85">
        <f t="shared" si="179"/>
        <v>322700</v>
      </c>
      <c r="AS71" s="86">
        <f t="shared" si="180"/>
        <v>9837000</v>
      </c>
    </row>
    <row r="72" spans="1:46" s="41" customFormat="1" ht="11.25">
      <c r="A72" s="65" t="str">
        <f>"- Текущие затраты (без налогов)"</f>
        <v>- Текущие затраты (без налогов)</v>
      </c>
      <c r="B72" s="42" t="str">
        <f>CHOOSE('Исходные данные'!$S$2,'Исходные данные'!$T$2,'Исходные данные'!$T$3,'Исходные данные'!$T$4,'Исходные данные'!$T$5)</f>
        <v>RUB</v>
      </c>
      <c r="C72" s="87">
        <f>C66-C63</f>
        <v>114169</v>
      </c>
      <c r="D72" s="87">
        <f t="shared" ref="D72:N72" si="187">D66-D63</f>
        <v>113392</v>
      </c>
      <c r="E72" s="87">
        <f t="shared" si="187"/>
        <v>115849</v>
      </c>
      <c r="F72" s="87">
        <f t="shared" si="187"/>
        <v>114970</v>
      </c>
      <c r="G72" s="87">
        <f t="shared" si="187"/>
        <v>114040</v>
      </c>
      <c r="H72" s="87">
        <f t="shared" si="187"/>
        <v>116410</v>
      </c>
      <c r="I72" s="87">
        <f t="shared" si="187"/>
        <v>114970</v>
      </c>
      <c r="J72" s="87">
        <f t="shared" si="187"/>
        <v>114040</v>
      </c>
      <c r="K72" s="87">
        <f t="shared" si="187"/>
        <v>116410</v>
      </c>
      <c r="L72" s="87">
        <f t="shared" si="187"/>
        <v>114970</v>
      </c>
      <c r="M72" s="87">
        <f t="shared" si="187"/>
        <v>114040</v>
      </c>
      <c r="N72" s="87">
        <f t="shared" si="187"/>
        <v>116410</v>
      </c>
      <c r="O72" s="85">
        <f t="shared" si="172"/>
        <v>1379670</v>
      </c>
      <c r="P72" s="85">
        <f t="shared" si="173"/>
        <v>114972.5</v>
      </c>
      <c r="Q72" s="87">
        <f>Q66-Q63</f>
        <v>130504</v>
      </c>
      <c r="R72" s="87">
        <f t="shared" ref="R72:AB72" si="188">R66-R63</f>
        <v>129688</v>
      </c>
      <c r="S72" s="87">
        <f t="shared" si="188"/>
        <v>132532</v>
      </c>
      <c r="T72" s="87">
        <f t="shared" si="188"/>
        <v>130504</v>
      </c>
      <c r="U72" s="87">
        <f t="shared" si="188"/>
        <v>129688</v>
      </c>
      <c r="V72" s="87">
        <f t="shared" si="188"/>
        <v>132532</v>
      </c>
      <c r="W72" s="87">
        <f t="shared" si="188"/>
        <v>130504</v>
      </c>
      <c r="X72" s="87">
        <f t="shared" si="188"/>
        <v>129688</v>
      </c>
      <c r="Y72" s="87">
        <f t="shared" si="188"/>
        <v>132532</v>
      </c>
      <c r="Z72" s="87">
        <f t="shared" si="188"/>
        <v>130504</v>
      </c>
      <c r="AA72" s="87">
        <f t="shared" si="188"/>
        <v>129688</v>
      </c>
      <c r="AB72" s="87">
        <f t="shared" si="188"/>
        <v>132532</v>
      </c>
      <c r="AC72" s="85">
        <f t="shared" si="175"/>
        <v>1570896</v>
      </c>
      <c r="AD72" s="85">
        <f t="shared" si="176"/>
        <v>130908</v>
      </c>
      <c r="AE72" s="87">
        <f>AE66-AE63</f>
        <v>146038</v>
      </c>
      <c r="AF72" s="87">
        <f t="shared" ref="AF72:AP72" si="189">AF66-AF63</f>
        <v>145336</v>
      </c>
      <c r="AG72" s="87">
        <f t="shared" si="189"/>
        <v>148654</v>
      </c>
      <c r="AH72" s="87">
        <f t="shared" si="189"/>
        <v>146038</v>
      </c>
      <c r="AI72" s="87">
        <f t="shared" si="189"/>
        <v>145336</v>
      </c>
      <c r="AJ72" s="87">
        <f t="shared" si="189"/>
        <v>148654</v>
      </c>
      <c r="AK72" s="87">
        <f t="shared" si="189"/>
        <v>146038</v>
      </c>
      <c r="AL72" s="87">
        <f t="shared" si="189"/>
        <v>145336</v>
      </c>
      <c r="AM72" s="87">
        <f t="shared" si="189"/>
        <v>148654</v>
      </c>
      <c r="AN72" s="87">
        <f t="shared" si="189"/>
        <v>146038</v>
      </c>
      <c r="AO72" s="87">
        <f t="shared" si="189"/>
        <v>145336</v>
      </c>
      <c r="AP72" s="87">
        <f t="shared" si="189"/>
        <v>148654</v>
      </c>
      <c r="AQ72" s="85">
        <f t="shared" si="178"/>
        <v>1760112</v>
      </c>
      <c r="AR72" s="85">
        <f t="shared" si="179"/>
        <v>146676</v>
      </c>
      <c r="AS72" s="86">
        <f t="shared" si="180"/>
        <v>4710678</v>
      </c>
    </row>
    <row r="73" spans="1:46" s="41" customFormat="1" ht="11.25">
      <c r="A73" s="2" t="s">
        <v>100</v>
      </c>
      <c r="B73" s="42" t="s">
        <v>61</v>
      </c>
      <c r="C73" s="87">
        <f>C71-C72</f>
        <v>-2169</v>
      </c>
      <c r="D73" s="87">
        <f t="shared" ref="D73:N73" si="190">D71-D72</f>
        <v>42208</v>
      </c>
      <c r="E73" s="87">
        <f t="shared" si="190"/>
        <v>187451</v>
      </c>
      <c r="F73" s="87">
        <f t="shared" si="190"/>
        <v>45030</v>
      </c>
      <c r="G73" s="87">
        <f t="shared" si="190"/>
        <v>80460</v>
      </c>
      <c r="H73" s="87">
        <f t="shared" si="190"/>
        <v>220590</v>
      </c>
      <c r="I73" s="87">
        <f t="shared" si="190"/>
        <v>45030</v>
      </c>
      <c r="J73" s="87">
        <f t="shared" si="190"/>
        <v>80460</v>
      </c>
      <c r="K73" s="87">
        <f t="shared" si="190"/>
        <v>220590</v>
      </c>
      <c r="L73" s="87">
        <f t="shared" si="190"/>
        <v>45030</v>
      </c>
      <c r="M73" s="87">
        <f t="shared" si="190"/>
        <v>80460</v>
      </c>
      <c r="N73" s="87">
        <f t="shared" si="190"/>
        <v>220590</v>
      </c>
      <c r="O73" s="85">
        <f t="shared" si="172"/>
        <v>1265730</v>
      </c>
      <c r="P73" s="85">
        <f t="shared" si="173"/>
        <v>105477.5</v>
      </c>
      <c r="Q73" s="87">
        <f>Q71-Q72</f>
        <v>61496</v>
      </c>
      <c r="R73" s="87">
        <f t="shared" ref="R73" si="191">R71-R72</f>
        <v>103712</v>
      </c>
      <c r="S73" s="87">
        <f t="shared" ref="S73" si="192">S71-S72</f>
        <v>271868</v>
      </c>
      <c r="T73" s="87">
        <f t="shared" ref="T73" si="193">T71-T72</f>
        <v>61496</v>
      </c>
      <c r="U73" s="87">
        <f t="shared" ref="U73" si="194">U71-U72</f>
        <v>103712</v>
      </c>
      <c r="V73" s="87">
        <f t="shared" ref="V73" si="195">V71-V72</f>
        <v>271868</v>
      </c>
      <c r="W73" s="87">
        <f t="shared" ref="W73" si="196">W71-W72</f>
        <v>61496</v>
      </c>
      <c r="X73" s="87">
        <f t="shared" ref="X73" si="197">X71-X72</f>
        <v>103712</v>
      </c>
      <c r="Y73" s="87">
        <f t="shared" ref="Y73" si="198">Y71-Y72</f>
        <v>271868</v>
      </c>
      <c r="Z73" s="87">
        <f t="shared" ref="Z73" si="199">Z71-Z72</f>
        <v>61496</v>
      </c>
      <c r="AA73" s="87">
        <f t="shared" ref="AA73" si="200">AA71-AA72</f>
        <v>103712</v>
      </c>
      <c r="AB73" s="87">
        <f t="shared" ref="AB73" si="201">AB71-AB72</f>
        <v>271868</v>
      </c>
      <c r="AC73" s="85">
        <f t="shared" si="175"/>
        <v>1748304</v>
      </c>
      <c r="AD73" s="85">
        <f t="shared" si="176"/>
        <v>145692</v>
      </c>
      <c r="AE73" s="87">
        <f>AE71-AE72</f>
        <v>77962</v>
      </c>
      <c r="AF73" s="87">
        <f t="shared" ref="AF73" si="202">AF71-AF72</f>
        <v>126964</v>
      </c>
      <c r="AG73" s="87">
        <f t="shared" ref="AG73" si="203">AG71-AG72</f>
        <v>323146</v>
      </c>
      <c r="AH73" s="87">
        <f t="shared" ref="AH73" si="204">AH71-AH72</f>
        <v>77962</v>
      </c>
      <c r="AI73" s="87">
        <f t="shared" ref="AI73" si="205">AI71-AI72</f>
        <v>126964</v>
      </c>
      <c r="AJ73" s="87">
        <f t="shared" ref="AJ73" si="206">AJ71-AJ72</f>
        <v>323146</v>
      </c>
      <c r="AK73" s="87">
        <f t="shared" ref="AK73" si="207">AK71-AK72</f>
        <v>77962</v>
      </c>
      <c r="AL73" s="87">
        <f t="shared" ref="AL73" si="208">AL71-AL72</f>
        <v>126964</v>
      </c>
      <c r="AM73" s="87">
        <f t="shared" ref="AM73" si="209">AM71-AM72</f>
        <v>323146</v>
      </c>
      <c r="AN73" s="87">
        <f t="shared" ref="AN73" si="210">AN71-AN72</f>
        <v>77962</v>
      </c>
      <c r="AO73" s="87">
        <f t="shared" ref="AO73" si="211">AO71-AO72</f>
        <v>126964</v>
      </c>
      <c r="AP73" s="87">
        <f t="shared" ref="AP73" si="212">AP71-AP72</f>
        <v>323146</v>
      </c>
      <c r="AQ73" s="85">
        <f t="shared" si="178"/>
        <v>2112288</v>
      </c>
      <c r="AR73" s="85">
        <f t="shared" si="179"/>
        <v>176024</v>
      </c>
      <c r="AS73" s="86">
        <f t="shared" si="180"/>
        <v>5126322</v>
      </c>
    </row>
    <row r="74" spans="1:46" s="41" customFormat="1" ht="11.25">
      <c r="A74" s="2" t="s">
        <v>74</v>
      </c>
      <c r="B74" s="42" t="s">
        <v>61</v>
      </c>
      <c r="C74" s="87">
        <f>C63</f>
        <v>22650</v>
      </c>
      <c r="D74" s="87">
        <f t="shared" ref="D74:N74" si="213">D63</f>
        <v>22650</v>
      </c>
      <c r="E74" s="87">
        <f t="shared" si="213"/>
        <v>22650</v>
      </c>
      <c r="F74" s="87">
        <f t="shared" si="213"/>
        <v>22650</v>
      </c>
      <c r="G74" s="87">
        <f t="shared" si="213"/>
        <v>22650</v>
      </c>
      <c r="H74" s="87">
        <f t="shared" si="213"/>
        <v>22650</v>
      </c>
      <c r="I74" s="87">
        <f t="shared" si="213"/>
        <v>22650</v>
      </c>
      <c r="J74" s="87">
        <f t="shared" si="213"/>
        <v>22650</v>
      </c>
      <c r="K74" s="87">
        <f t="shared" si="213"/>
        <v>22650</v>
      </c>
      <c r="L74" s="87">
        <f t="shared" si="213"/>
        <v>22650</v>
      </c>
      <c r="M74" s="87">
        <f t="shared" si="213"/>
        <v>22650</v>
      </c>
      <c r="N74" s="87">
        <f t="shared" si="213"/>
        <v>22650</v>
      </c>
      <c r="O74" s="85">
        <f t="shared" si="172"/>
        <v>271800</v>
      </c>
      <c r="P74" s="85">
        <f t="shared" si="173"/>
        <v>22650</v>
      </c>
      <c r="Q74" s="87">
        <f>Q63</f>
        <v>27180</v>
      </c>
      <c r="R74" s="87">
        <f t="shared" ref="R74:AB74" si="214">R63</f>
        <v>27180</v>
      </c>
      <c r="S74" s="87">
        <f t="shared" si="214"/>
        <v>27180</v>
      </c>
      <c r="T74" s="87">
        <f t="shared" si="214"/>
        <v>27180</v>
      </c>
      <c r="U74" s="87">
        <f t="shared" si="214"/>
        <v>27180</v>
      </c>
      <c r="V74" s="87">
        <f t="shared" si="214"/>
        <v>27180</v>
      </c>
      <c r="W74" s="87">
        <f t="shared" si="214"/>
        <v>27180</v>
      </c>
      <c r="X74" s="87">
        <f t="shared" si="214"/>
        <v>27180</v>
      </c>
      <c r="Y74" s="87">
        <f t="shared" si="214"/>
        <v>27180</v>
      </c>
      <c r="Z74" s="87">
        <f t="shared" si="214"/>
        <v>27180</v>
      </c>
      <c r="AA74" s="87">
        <f t="shared" si="214"/>
        <v>27180</v>
      </c>
      <c r="AB74" s="87">
        <f t="shared" si="214"/>
        <v>27180</v>
      </c>
      <c r="AC74" s="85">
        <f t="shared" si="175"/>
        <v>326160</v>
      </c>
      <c r="AD74" s="85">
        <f t="shared" si="176"/>
        <v>27180</v>
      </c>
      <c r="AE74" s="87">
        <f>AE63</f>
        <v>31710</v>
      </c>
      <c r="AF74" s="87">
        <f t="shared" ref="AF74:AP74" si="215">AF63</f>
        <v>31710</v>
      </c>
      <c r="AG74" s="87">
        <f t="shared" si="215"/>
        <v>31710</v>
      </c>
      <c r="AH74" s="87">
        <f t="shared" si="215"/>
        <v>31710</v>
      </c>
      <c r="AI74" s="87">
        <f t="shared" si="215"/>
        <v>31710</v>
      </c>
      <c r="AJ74" s="87">
        <f t="shared" si="215"/>
        <v>31710</v>
      </c>
      <c r="AK74" s="87">
        <f t="shared" si="215"/>
        <v>31710</v>
      </c>
      <c r="AL74" s="87">
        <f t="shared" si="215"/>
        <v>31710</v>
      </c>
      <c r="AM74" s="87">
        <f t="shared" si="215"/>
        <v>31710</v>
      </c>
      <c r="AN74" s="87">
        <f t="shared" si="215"/>
        <v>31710</v>
      </c>
      <c r="AO74" s="87">
        <f t="shared" si="215"/>
        <v>31710</v>
      </c>
      <c r="AP74" s="87">
        <f t="shared" si="215"/>
        <v>31710</v>
      </c>
      <c r="AQ74" s="85">
        <f t="shared" si="178"/>
        <v>380520</v>
      </c>
      <c r="AR74" s="85">
        <f t="shared" si="179"/>
        <v>31710</v>
      </c>
      <c r="AS74" s="86">
        <f t="shared" si="180"/>
        <v>978480</v>
      </c>
    </row>
    <row r="75" spans="1:46" s="41" customFormat="1" ht="11.25">
      <c r="A75" s="88" t="s">
        <v>101</v>
      </c>
      <c r="B75" s="42" t="str">
        <f>CHOOSE('Исходные данные'!$S$2,'Исходные данные'!$T$2,'Исходные данные'!$T$3,'Исходные данные'!$T$4,'Исходные данные'!$T$5)</f>
        <v>RUB</v>
      </c>
      <c r="C75" s="84">
        <f>C73-C74</f>
        <v>-24819</v>
      </c>
      <c r="D75" s="84">
        <f t="shared" ref="D75:N75" si="216">D73-D74</f>
        <v>19558</v>
      </c>
      <c r="E75" s="84">
        <f t="shared" si="216"/>
        <v>164801</v>
      </c>
      <c r="F75" s="84">
        <f t="shared" si="216"/>
        <v>22380</v>
      </c>
      <c r="G75" s="84">
        <f t="shared" si="216"/>
        <v>57810</v>
      </c>
      <c r="H75" s="84">
        <f t="shared" si="216"/>
        <v>197940</v>
      </c>
      <c r="I75" s="84">
        <f t="shared" si="216"/>
        <v>22380</v>
      </c>
      <c r="J75" s="84">
        <f t="shared" si="216"/>
        <v>57810</v>
      </c>
      <c r="K75" s="84">
        <f t="shared" si="216"/>
        <v>197940</v>
      </c>
      <c r="L75" s="84">
        <f t="shared" si="216"/>
        <v>22380</v>
      </c>
      <c r="M75" s="84">
        <f t="shared" si="216"/>
        <v>57810</v>
      </c>
      <c r="N75" s="84">
        <f t="shared" si="216"/>
        <v>197940</v>
      </c>
      <c r="O75" s="85">
        <f>SUM(C75:N75)</f>
        <v>993930</v>
      </c>
      <c r="P75" s="85">
        <f>O75/12</f>
        <v>82827.5</v>
      </c>
      <c r="Q75" s="84">
        <f>Q73-Q74</f>
        <v>34316</v>
      </c>
      <c r="R75" s="84">
        <f t="shared" ref="R75" si="217">R73-R74</f>
        <v>76532</v>
      </c>
      <c r="S75" s="84">
        <f t="shared" ref="S75" si="218">S73-S74</f>
        <v>244688</v>
      </c>
      <c r="T75" s="84">
        <f t="shared" ref="T75" si="219">T73-T74</f>
        <v>34316</v>
      </c>
      <c r="U75" s="84">
        <f t="shared" ref="U75" si="220">U73-U74</f>
        <v>76532</v>
      </c>
      <c r="V75" s="84">
        <f t="shared" ref="V75" si="221">V73-V74</f>
        <v>244688</v>
      </c>
      <c r="W75" s="84">
        <f t="shared" ref="W75" si="222">W73-W74</f>
        <v>34316</v>
      </c>
      <c r="X75" s="84">
        <f t="shared" ref="X75" si="223">X73-X74</f>
        <v>76532</v>
      </c>
      <c r="Y75" s="84">
        <f t="shared" ref="Y75" si="224">Y73-Y74</f>
        <v>244688</v>
      </c>
      <c r="Z75" s="84">
        <f t="shared" ref="Z75" si="225">Z73-Z74</f>
        <v>34316</v>
      </c>
      <c r="AA75" s="84">
        <f t="shared" ref="AA75" si="226">AA73-AA74</f>
        <v>76532</v>
      </c>
      <c r="AB75" s="84">
        <f t="shared" ref="AB75" si="227">AB73-AB74</f>
        <v>244688</v>
      </c>
      <c r="AC75" s="85">
        <f>SUM(Q75:AB75)</f>
        <v>1422144</v>
      </c>
      <c r="AD75" s="85">
        <f>AC75/12</f>
        <v>118512</v>
      </c>
      <c r="AE75" s="84">
        <f>AE73-AE74</f>
        <v>46252</v>
      </c>
      <c r="AF75" s="84">
        <f t="shared" ref="AF75" si="228">AF73-AF74</f>
        <v>95254</v>
      </c>
      <c r="AG75" s="84">
        <f t="shared" ref="AG75" si="229">AG73-AG74</f>
        <v>291436</v>
      </c>
      <c r="AH75" s="84">
        <f t="shared" ref="AH75" si="230">AH73-AH74</f>
        <v>46252</v>
      </c>
      <c r="AI75" s="84">
        <f t="shared" ref="AI75" si="231">AI73-AI74</f>
        <v>95254</v>
      </c>
      <c r="AJ75" s="84">
        <f t="shared" ref="AJ75" si="232">AJ73-AJ74</f>
        <v>291436</v>
      </c>
      <c r="AK75" s="84">
        <f t="shared" ref="AK75" si="233">AK73-AK74</f>
        <v>46252</v>
      </c>
      <c r="AL75" s="84">
        <f t="shared" ref="AL75" si="234">AL73-AL74</f>
        <v>95254</v>
      </c>
      <c r="AM75" s="84">
        <f t="shared" ref="AM75" si="235">AM73-AM74</f>
        <v>291436</v>
      </c>
      <c r="AN75" s="84">
        <f t="shared" ref="AN75" si="236">AN73-AN74</f>
        <v>46252</v>
      </c>
      <c r="AO75" s="84">
        <f t="shared" ref="AO75" si="237">AO73-AO74</f>
        <v>95254</v>
      </c>
      <c r="AP75" s="84">
        <f t="shared" ref="AP75" si="238">AP73-AP74</f>
        <v>291436</v>
      </c>
      <c r="AQ75" s="85">
        <f>SUM(AE75:AP75)</f>
        <v>1731768</v>
      </c>
      <c r="AR75" s="85">
        <f>AQ75/12</f>
        <v>144314</v>
      </c>
      <c r="AS75" s="89"/>
    </row>
    <row r="76" spans="1:46" s="41" customFormat="1" ht="11.25">
      <c r="A76" s="88"/>
      <c r="B76" s="42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5"/>
      <c r="P76" s="85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5"/>
      <c r="AD76" s="85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5"/>
      <c r="AR76" s="85"/>
      <c r="AS76" s="89"/>
    </row>
    <row r="77" spans="1:46" s="92" customFormat="1" ht="11.25">
      <c r="A77" s="90" t="str">
        <f>"- Инвестиции"</f>
        <v>- Инвестиции</v>
      </c>
      <c r="B77" s="91" t="str">
        <f>CHOOSE('Исходные данные'!$S$2,'Исходные данные'!$T$2,'Исходные данные'!$T$3,'Исходные данные'!$T$4,'Исходные данные'!$T$5)</f>
        <v>RUB</v>
      </c>
      <c r="C77" s="87">
        <f t="shared" ref="C77:N77" si="239">C45</f>
        <v>438000</v>
      </c>
      <c r="D77" s="87">
        <f t="shared" si="239"/>
        <v>0</v>
      </c>
      <c r="E77" s="87">
        <f t="shared" si="239"/>
        <v>0</v>
      </c>
      <c r="F77" s="87">
        <f t="shared" si="239"/>
        <v>0</v>
      </c>
      <c r="G77" s="87">
        <f t="shared" si="239"/>
        <v>0</v>
      </c>
      <c r="H77" s="87">
        <f t="shared" si="239"/>
        <v>0</v>
      </c>
      <c r="I77" s="87">
        <f t="shared" si="239"/>
        <v>0</v>
      </c>
      <c r="J77" s="87">
        <f t="shared" si="239"/>
        <v>0</v>
      </c>
      <c r="K77" s="87">
        <f t="shared" si="239"/>
        <v>0</v>
      </c>
      <c r="L77" s="87">
        <f t="shared" si="239"/>
        <v>0</v>
      </c>
      <c r="M77" s="87">
        <f t="shared" si="239"/>
        <v>0</v>
      </c>
      <c r="N77" s="87">
        <f t="shared" si="239"/>
        <v>0</v>
      </c>
      <c r="O77" s="85">
        <f>SUM(C77:N77)</f>
        <v>438000</v>
      </c>
      <c r="P77" s="85"/>
      <c r="Q77" s="87">
        <f t="shared" ref="Q77:AB77" si="240">Q45</f>
        <v>0</v>
      </c>
      <c r="R77" s="87">
        <f t="shared" si="240"/>
        <v>0</v>
      </c>
      <c r="S77" s="87">
        <f t="shared" si="240"/>
        <v>0</v>
      </c>
      <c r="T77" s="87">
        <f t="shared" si="240"/>
        <v>0</v>
      </c>
      <c r="U77" s="87">
        <f t="shared" si="240"/>
        <v>0</v>
      </c>
      <c r="V77" s="87">
        <f t="shared" si="240"/>
        <v>0</v>
      </c>
      <c r="W77" s="87">
        <f t="shared" si="240"/>
        <v>0</v>
      </c>
      <c r="X77" s="87">
        <f t="shared" si="240"/>
        <v>0</v>
      </c>
      <c r="Y77" s="87">
        <f t="shared" si="240"/>
        <v>0</v>
      </c>
      <c r="Z77" s="87">
        <f t="shared" si="240"/>
        <v>0</v>
      </c>
      <c r="AA77" s="87">
        <f t="shared" si="240"/>
        <v>0</v>
      </c>
      <c r="AB77" s="87">
        <f t="shared" si="240"/>
        <v>0</v>
      </c>
      <c r="AC77" s="85">
        <f>SUM(Q77:AB77)</f>
        <v>0</v>
      </c>
      <c r="AD77" s="85"/>
      <c r="AE77" s="87">
        <f t="shared" ref="AE77:AP77" si="241">AE45</f>
        <v>0</v>
      </c>
      <c r="AF77" s="87">
        <f t="shared" si="241"/>
        <v>0</v>
      </c>
      <c r="AG77" s="87">
        <f t="shared" si="241"/>
        <v>0</v>
      </c>
      <c r="AH77" s="87">
        <f t="shared" si="241"/>
        <v>0</v>
      </c>
      <c r="AI77" s="87">
        <f t="shared" si="241"/>
        <v>0</v>
      </c>
      <c r="AJ77" s="87">
        <f t="shared" si="241"/>
        <v>0</v>
      </c>
      <c r="AK77" s="87">
        <f t="shared" si="241"/>
        <v>0</v>
      </c>
      <c r="AL77" s="87">
        <f t="shared" si="241"/>
        <v>0</v>
      </c>
      <c r="AM77" s="87">
        <f t="shared" si="241"/>
        <v>0</v>
      </c>
      <c r="AN77" s="87">
        <f t="shared" si="241"/>
        <v>0</v>
      </c>
      <c r="AO77" s="87">
        <f t="shared" si="241"/>
        <v>0</v>
      </c>
      <c r="AP77" s="87">
        <f t="shared" si="241"/>
        <v>0</v>
      </c>
      <c r="AQ77" s="85">
        <f>SUM(AE77:AP77)</f>
        <v>0</v>
      </c>
      <c r="AR77" s="85"/>
      <c r="AS77" s="86">
        <f>O77+AC77+AQ77</f>
        <v>438000</v>
      </c>
    </row>
    <row r="78" spans="1:46" s="41" customFormat="1" ht="11.25">
      <c r="A78" s="93" t="s">
        <v>102</v>
      </c>
      <c r="B78" s="91" t="str">
        <f>CHOOSE('Исходные данные'!$S$2,'Исходные данные'!$T$2,'Исходные данные'!$T$3,'Исходные данные'!$T$4,'Исходные данные'!$T$5)</f>
        <v>RUB</v>
      </c>
      <c r="C78" s="87">
        <f>C75+IF(ISNUMBER(B78),B78,0)-C77</f>
        <v>-462819</v>
      </c>
      <c r="D78" s="87">
        <f>D75+IF(ISNUMBER(C78),C78,0)-D77</f>
        <v>-443261</v>
      </c>
      <c r="E78" s="87">
        <f t="shared" ref="E78:N78" si="242">E75+IF(ISNUMBER(D78),D78,0)-E77</f>
        <v>-278460</v>
      </c>
      <c r="F78" s="87">
        <f t="shared" si="242"/>
        <v>-256080</v>
      </c>
      <c r="G78" s="87">
        <f t="shared" si="242"/>
        <v>-198270</v>
      </c>
      <c r="H78" s="87">
        <f t="shared" si="242"/>
        <v>-330</v>
      </c>
      <c r="I78" s="87">
        <f t="shared" si="242"/>
        <v>22050</v>
      </c>
      <c r="J78" s="87">
        <f t="shared" si="242"/>
        <v>79860</v>
      </c>
      <c r="K78" s="87">
        <f t="shared" si="242"/>
        <v>277800</v>
      </c>
      <c r="L78" s="87">
        <f t="shared" si="242"/>
        <v>300180</v>
      </c>
      <c r="M78" s="87">
        <f t="shared" si="242"/>
        <v>357990</v>
      </c>
      <c r="N78" s="87">
        <f t="shared" si="242"/>
        <v>555930</v>
      </c>
      <c r="O78" s="85">
        <f>N78</f>
        <v>555930</v>
      </c>
      <c r="P78" s="85"/>
      <c r="Q78" s="87">
        <f>Q75+IF(ISNUMBER(N78),N78,0)-Q77</f>
        <v>590246</v>
      </c>
      <c r="R78" s="87">
        <f>R75+IF(ISNUMBER(Q78),Q78,0)-R77</f>
        <v>666778</v>
      </c>
      <c r="S78" s="87">
        <f t="shared" ref="S78" si="243">S75+IF(ISNUMBER(R78),R78,0)-S77</f>
        <v>911466</v>
      </c>
      <c r="T78" s="87">
        <f t="shared" ref="T78" si="244">T75+IF(ISNUMBER(S78),S78,0)-T77</f>
        <v>945782</v>
      </c>
      <c r="U78" s="87">
        <f t="shared" ref="U78" si="245">U75+IF(ISNUMBER(T78),T78,0)-U77</f>
        <v>1022314</v>
      </c>
      <c r="V78" s="87">
        <f t="shared" ref="V78" si="246">V75+IF(ISNUMBER(U78),U78,0)-V77</f>
        <v>1267002</v>
      </c>
      <c r="W78" s="87">
        <f t="shared" ref="W78" si="247">W75+IF(ISNUMBER(V78),V78,0)-W77</f>
        <v>1301318</v>
      </c>
      <c r="X78" s="87">
        <f t="shared" ref="X78" si="248">X75+IF(ISNUMBER(W78),W78,0)-X77</f>
        <v>1377850</v>
      </c>
      <c r="Y78" s="87">
        <f t="shared" ref="Y78" si="249">Y75+IF(ISNUMBER(X78),X78,0)-Y77</f>
        <v>1622538</v>
      </c>
      <c r="Z78" s="87">
        <f t="shared" ref="Z78" si="250">Z75+IF(ISNUMBER(Y78),Y78,0)-Z77</f>
        <v>1656854</v>
      </c>
      <c r="AA78" s="87">
        <f t="shared" ref="AA78" si="251">AA75+IF(ISNUMBER(Z78),Z78,0)-AA77</f>
        <v>1733386</v>
      </c>
      <c r="AB78" s="87">
        <f t="shared" ref="AB78" si="252">AB75+IF(ISNUMBER(AA78),AA78,0)-AB77</f>
        <v>1978074</v>
      </c>
      <c r="AC78" s="85">
        <f>AB78</f>
        <v>1978074</v>
      </c>
      <c r="AD78" s="85"/>
      <c r="AE78" s="87">
        <f>AE75+IF(ISNUMBER(AB78),AB78,0)-AE77</f>
        <v>2024326</v>
      </c>
      <c r="AF78" s="87">
        <f>AF75+IF(ISNUMBER(AE78),AE78,0)-AF77</f>
        <v>2119580</v>
      </c>
      <c r="AG78" s="87">
        <f t="shared" ref="AG78" si="253">AG75+IF(ISNUMBER(AF78),AF78,0)-AG77</f>
        <v>2411016</v>
      </c>
      <c r="AH78" s="87">
        <f t="shared" ref="AH78" si="254">AH75+IF(ISNUMBER(AG78),AG78,0)-AH77</f>
        <v>2457268</v>
      </c>
      <c r="AI78" s="87">
        <f t="shared" ref="AI78" si="255">AI75+IF(ISNUMBER(AH78),AH78,0)-AI77</f>
        <v>2552522</v>
      </c>
      <c r="AJ78" s="87">
        <f t="shared" ref="AJ78" si="256">AJ75+IF(ISNUMBER(AI78),AI78,0)-AJ77</f>
        <v>2843958</v>
      </c>
      <c r="AK78" s="87">
        <f t="shared" ref="AK78" si="257">AK75+IF(ISNUMBER(AJ78),AJ78,0)-AK77</f>
        <v>2890210</v>
      </c>
      <c r="AL78" s="87">
        <f t="shared" ref="AL78" si="258">AL75+IF(ISNUMBER(AK78),AK78,0)-AL77</f>
        <v>2985464</v>
      </c>
      <c r="AM78" s="87">
        <f t="shared" ref="AM78" si="259">AM75+IF(ISNUMBER(AL78),AL78,0)-AM77</f>
        <v>3276900</v>
      </c>
      <c r="AN78" s="87">
        <f t="shared" ref="AN78" si="260">AN75+IF(ISNUMBER(AM78),AM78,0)-AN77</f>
        <v>3323152</v>
      </c>
      <c r="AO78" s="87">
        <f t="shared" ref="AO78" si="261">AO75+IF(ISNUMBER(AN78),AN78,0)-AO77</f>
        <v>3418406</v>
      </c>
      <c r="AP78" s="87">
        <f t="shared" ref="AP78" si="262">AP75+IF(ISNUMBER(AO78),AO78,0)-AP77</f>
        <v>3709842</v>
      </c>
      <c r="AQ78" s="85">
        <f>AP78</f>
        <v>3709842</v>
      </c>
      <c r="AR78" s="85"/>
      <c r="AS78" s="89"/>
    </row>
    <row r="79" spans="1:46" s="41" customFormat="1" ht="12" thickBot="1">
      <c r="O79" s="61"/>
      <c r="P79" s="61"/>
      <c r="AC79" s="61"/>
      <c r="AD79" s="61"/>
      <c r="AQ79" s="61"/>
      <c r="AR79" s="61"/>
    </row>
    <row r="80" spans="1:46" s="41" customFormat="1" ht="24" thickTop="1" thickBot="1">
      <c r="A80" s="37" t="s">
        <v>13</v>
      </c>
      <c r="B80" s="38"/>
      <c r="C80" s="38" t="str">
        <f t="shared" ref="C80:N80" si="263">C$6</f>
        <v>январь</v>
      </c>
      <c r="D80" s="38" t="str">
        <f t="shared" si="263"/>
        <v>февраль</v>
      </c>
      <c r="E80" s="38" t="str">
        <f t="shared" si="263"/>
        <v>март</v>
      </c>
      <c r="F80" s="38" t="str">
        <f t="shared" si="263"/>
        <v>апрель</v>
      </c>
      <c r="G80" s="38" t="str">
        <f t="shared" si="263"/>
        <v>май</v>
      </c>
      <c r="H80" s="38" t="str">
        <f t="shared" si="263"/>
        <v>июнь</v>
      </c>
      <c r="I80" s="38" t="str">
        <f t="shared" si="263"/>
        <v>июль</v>
      </c>
      <c r="J80" s="38" t="str">
        <f t="shared" si="263"/>
        <v>август</v>
      </c>
      <c r="K80" s="38" t="str">
        <f t="shared" si="263"/>
        <v>сентябрь</v>
      </c>
      <c r="L80" s="38" t="str">
        <f t="shared" si="263"/>
        <v>октябрь</v>
      </c>
      <c r="M80" s="38" t="str">
        <f t="shared" si="263"/>
        <v>ноябрь</v>
      </c>
      <c r="N80" s="38" t="str">
        <f t="shared" si="263"/>
        <v>декабрь</v>
      </c>
      <c r="O80" s="62" t="str">
        <f>O68</f>
        <v>Итого за 1-й год</v>
      </c>
      <c r="P80" s="62" t="str">
        <f>P68</f>
        <v>Среднемесячно за 1-й год</v>
      </c>
      <c r="Q80" s="38" t="str">
        <f t="shared" ref="Q80:AB80" si="264">Q$6</f>
        <v>январь</v>
      </c>
      <c r="R80" s="38" t="str">
        <f t="shared" si="264"/>
        <v>февраль</v>
      </c>
      <c r="S80" s="38" t="str">
        <f t="shared" si="264"/>
        <v>март</v>
      </c>
      <c r="T80" s="38" t="str">
        <f t="shared" si="264"/>
        <v>апрель</v>
      </c>
      <c r="U80" s="38" t="str">
        <f t="shared" si="264"/>
        <v>май</v>
      </c>
      <c r="V80" s="38" t="str">
        <f t="shared" si="264"/>
        <v>июнь</v>
      </c>
      <c r="W80" s="38" t="str">
        <f t="shared" si="264"/>
        <v>июль</v>
      </c>
      <c r="X80" s="38" t="str">
        <f t="shared" si="264"/>
        <v>август</v>
      </c>
      <c r="Y80" s="38" t="str">
        <f t="shared" si="264"/>
        <v>сентябрь</v>
      </c>
      <c r="Z80" s="38" t="str">
        <f t="shared" si="264"/>
        <v>октябрь</v>
      </c>
      <c r="AA80" s="38" t="str">
        <f t="shared" si="264"/>
        <v>ноябрь</v>
      </c>
      <c r="AB80" s="38" t="str">
        <f t="shared" si="264"/>
        <v>декабрь</v>
      </c>
      <c r="AC80" s="62" t="str">
        <f>AC68</f>
        <v>Итого за 2-й год</v>
      </c>
      <c r="AD80" s="62" t="str">
        <f>AD68</f>
        <v>Среднемесячно за 2-й год</v>
      </c>
      <c r="AE80" s="38" t="str">
        <f t="shared" ref="AE80:AP80" si="265">AE$6</f>
        <v>январь</v>
      </c>
      <c r="AF80" s="38" t="str">
        <f t="shared" si="265"/>
        <v>февраль</v>
      </c>
      <c r="AG80" s="38" t="str">
        <f t="shared" si="265"/>
        <v>март</v>
      </c>
      <c r="AH80" s="38" t="str">
        <f t="shared" si="265"/>
        <v>апрель</v>
      </c>
      <c r="AI80" s="38" t="str">
        <f t="shared" si="265"/>
        <v>май</v>
      </c>
      <c r="AJ80" s="38" t="str">
        <f t="shared" si="265"/>
        <v>июнь</v>
      </c>
      <c r="AK80" s="38" t="str">
        <f t="shared" si="265"/>
        <v>июль</v>
      </c>
      <c r="AL80" s="38" t="str">
        <f t="shared" si="265"/>
        <v>август</v>
      </c>
      <c r="AM80" s="38" t="str">
        <f t="shared" si="265"/>
        <v>сентябрь</v>
      </c>
      <c r="AN80" s="38" t="str">
        <f t="shared" si="265"/>
        <v>октябрь</v>
      </c>
      <c r="AO80" s="38" t="str">
        <f t="shared" si="265"/>
        <v>ноябрь</v>
      </c>
      <c r="AP80" s="38" t="str">
        <f t="shared" si="265"/>
        <v>декабрь</v>
      </c>
      <c r="AQ80" s="62" t="str">
        <f>AQ68</f>
        <v>Итого за 3-й год</v>
      </c>
      <c r="AR80" s="62" t="str">
        <f>AR68</f>
        <v>Среднемесячно за 3-й год</v>
      </c>
      <c r="AS80" s="82" t="str">
        <f>AS68</f>
        <v>Итого за три года</v>
      </c>
    </row>
    <row r="81" spans="1:45" s="52" customFormat="1" ht="12" thickTop="1">
      <c r="A81" s="94" t="s">
        <v>14</v>
      </c>
      <c r="B81" s="42" t="str">
        <f>CHOOSE('Исходные данные'!$S$2,'Исходные данные'!$T$2,'Исходные данные'!$T$3,'Исходные данные'!$T$4,'Исходные данные'!$T$5)</f>
        <v>RUB</v>
      </c>
      <c r="C81" s="43">
        <f t="shared" ref="C81:N81" si="266">C69</f>
        <v>186900</v>
      </c>
      <c r="D81" s="43">
        <f t="shared" si="266"/>
        <v>259200</v>
      </c>
      <c r="E81" s="43">
        <f t="shared" si="266"/>
        <v>504900</v>
      </c>
      <c r="F81" s="43">
        <f t="shared" si="266"/>
        <v>267000</v>
      </c>
      <c r="G81" s="43">
        <f t="shared" si="266"/>
        <v>324000</v>
      </c>
      <c r="H81" s="43">
        <f t="shared" si="266"/>
        <v>561000</v>
      </c>
      <c r="I81" s="43">
        <f t="shared" si="266"/>
        <v>267000</v>
      </c>
      <c r="J81" s="43">
        <f t="shared" si="266"/>
        <v>324000</v>
      </c>
      <c r="K81" s="43">
        <f t="shared" si="266"/>
        <v>561000</v>
      </c>
      <c r="L81" s="43">
        <f t="shared" si="266"/>
        <v>267000</v>
      </c>
      <c r="M81" s="43">
        <f t="shared" si="266"/>
        <v>324000</v>
      </c>
      <c r="N81" s="43">
        <f t="shared" si="266"/>
        <v>561000</v>
      </c>
      <c r="O81" s="44">
        <f>SUM(C81:N81)</f>
        <v>4407000</v>
      </c>
      <c r="P81" s="44">
        <f>O81/12</f>
        <v>367250</v>
      </c>
      <c r="Q81" s="43">
        <f t="shared" ref="Q81:AB81" si="267">Q69</f>
        <v>320400</v>
      </c>
      <c r="R81" s="43">
        <f t="shared" si="267"/>
        <v>388800</v>
      </c>
      <c r="S81" s="43">
        <f t="shared" si="267"/>
        <v>673200</v>
      </c>
      <c r="T81" s="43">
        <f t="shared" si="267"/>
        <v>320400</v>
      </c>
      <c r="U81" s="43">
        <f t="shared" si="267"/>
        <v>388800</v>
      </c>
      <c r="V81" s="43">
        <f t="shared" si="267"/>
        <v>673200</v>
      </c>
      <c r="W81" s="43">
        <f t="shared" si="267"/>
        <v>320400</v>
      </c>
      <c r="X81" s="43">
        <f t="shared" si="267"/>
        <v>388800</v>
      </c>
      <c r="Y81" s="43">
        <f t="shared" si="267"/>
        <v>673200</v>
      </c>
      <c r="Z81" s="43">
        <f t="shared" si="267"/>
        <v>320400</v>
      </c>
      <c r="AA81" s="43">
        <f t="shared" si="267"/>
        <v>388800</v>
      </c>
      <c r="AB81" s="43">
        <f t="shared" si="267"/>
        <v>673200</v>
      </c>
      <c r="AC81" s="44">
        <f>SUM(Q81:AB81)</f>
        <v>5529600</v>
      </c>
      <c r="AD81" s="44">
        <f>AC81/12</f>
        <v>460800</v>
      </c>
      <c r="AE81" s="43">
        <f t="shared" ref="AE81:AP81" si="268">AE69</f>
        <v>373800</v>
      </c>
      <c r="AF81" s="43">
        <f t="shared" si="268"/>
        <v>453600</v>
      </c>
      <c r="AG81" s="43">
        <f t="shared" si="268"/>
        <v>785400</v>
      </c>
      <c r="AH81" s="43">
        <f t="shared" si="268"/>
        <v>373800</v>
      </c>
      <c r="AI81" s="43">
        <f t="shared" si="268"/>
        <v>453600</v>
      </c>
      <c r="AJ81" s="43">
        <f t="shared" si="268"/>
        <v>785400</v>
      </c>
      <c r="AK81" s="43">
        <f t="shared" si="268"/>
        <v>373800</v>
      </c>
      <c r="AL81" s="43">
        <f t="shared" si="268"/>
        <v>453600</v>
      </c>
      <c r="AM81" s="43">
        <f t="shared" si="268"/>
        <v>785400</v>
      </c>
      <c r="AN81" s="43">
        <f t="shared" si="268"/>
        <v>373800</v>
      </c>
      <c r="AO81" s="43">
        <f t="shared" si="268"/>
        <v>453600</v>
      </c>
      <c r="AP81" s="43">
        <f t="shared" si="268"/>
        <v>785400</v>
      </c>
      <c r="AQ81" s="44">
        <f>SUM(AE81:AP81)</f>
        <v>6451200</v>
      </c>
      <c r="AR81" s="44">
        <f>AQ81/12</f>
        <v>537600</v>
      </c>
      <c r="AS81" s="95">
        <f>O81+AC81+AQ81</f>
        <v>16387800</v>
      </c>
    </row>
    <row r="82" spans="1:45" s="52" customFormat="1" ht="11.25">
      <c r="A82" s="94" t="s">
        <v>1</v>
      </c>
      <c r="B82" s="42" t="str">
        <f>CHOOSE('Исходные данные'!$S$2,'Исходные данные'!$T$2,'Исходные данные'!$T$3,'Исходные данные'!$T$4,'Исходные данные'!$T$5)</f>
        <v>RUB</v>
      </c>
      <c r="C82" s="96">
        <f>-(C32+C66)</f>
        <v>-211719</v>
      </c>
      <c r="D82" s="96">
        <f t="shared" ref="D82:N82" si="269">-(D32+D66)</f>
        <v>-239642</v>
      </c>
      <c r="E82" s="96">
        <f t="shared" si="269"/>
        <v>-340099</v>
      </c>
      <c r="F82" s="96">
        <f t="shared" si="269"/>
        <v>-244620</v>
      </c>
      <c r="G82" s="96">
        <f t="shared" si="269"/>
        <v>-266190</v>
      </c>
      <c r="H82" s="96">
        <f t="shared" si="269"/>
        <v>-363060</v>
      </c>
      <c r="I82" s="96">
        <f t="shared" si="269"/>
        <v>-244620</v>
      </c>
      <c r="J82" s="96">
        <f t="shared" si="269"/>
        <v>-266190</v>
      </c>
      <c r="K82" s="96">
        <f t="shared" si="269"/>
        <v>-363060</v>
      </c>
      <c r="L82" s="96">
        <f t="shared" si="269"/>
        <v>-244620</v>
      </c>
      <c r="M82" s="96">
        <f t="shared" si="269"/>
        <v>-266190</v>
      </c>
      <c r="N82" s="96">
        <f t="shared" si="269"/>
        <v>-363060</v>
      </c>
      <c r="O82" s="44">
        <f>SUM(C82:N82)</f>
        <v>-3413070</v>
      </c>
      <c r="P82" s="44">
        <f>O82/12</f>
        <v>-284422.5</v>
      </c>
      <c r="Q82" s="96">
        <f>-(Q32+Q66)</f>
        <v>-286084</v>
      </c>
      <c r="R82" s="96">
        <f t="shared" ref="R82:AB82" si="270">-(R32+R66)</f>
        <v>-312268</v>
      </c>
      <c r="S82" s="96">
        <f t="shared" si="270"/>
        <v>-428512</v>
      </c>
      <c r="T82" s="96">
        <f t="shared" si="270"/>
        <v>-286084</v>
      </c>
      <c r="U82" s="96">
        <f t="shared" si="270"/>
        <v>-312268</v>
      </c>
      <c r="V82" s="96">
        <f t="shared" si="270"/>
        <v>-428512</v>
      </c>
      <c r="W82" s="96">
        <f t="shared" si="270"/>
        <v>-286084</v>
      </c>
      <c r="X82" s="96">
        <f t="shared" si="270"/>
        <v>-312268</v>
      </c>
      <c r="Y82" s="96">
        <f t="shared" si="270"/>
        <v>-428512</v>
      </c>
      <c r="Z82" s="96">
        <f t="shared" si="270"/>
        <v>-286084</v>
      </c>
      <c r="AA82" s="96">
        <f t="shared" si="270"/>
        <v>-312268</v>
      </c>
      <c r="AB82" s="96">
        <f t="shared" si="270"/>
        <v>-428512</v>
      </c>
      <c r="AC82" s="44">
        <f>SUM(Q82:AB82)</f>
        <v>-4107456</v>
      </c>
      <c r="AD82" s="44">
        <f>AC82/12</f>
        <v>-342288</v>
      </c>
      <c r="AE82" s="96">
        <f>-(AE32+AE66)</f>
        <v>-327548</v>
      </c>
      <c r="AF82" s="96">
        <f t="shared" ref="AF82:AP82" si="271">-(AF32+AF66)</f>
        <v>-358346</v>
      </c>
      <c r="AG82" s="96">
        <f t="shared" si="271"/>
        <v>-493964</v>
      </c>
      <c r="AH82" s="96">
        <f t="shared" si="271"/>
        <v>-327548</v>
      </c>
      <c r="AI82" s="96">
        <f t="shared" si="271"/>
        <v>-358346</v>
      </c>
      <c r="AJ82" s="96">
        <f t="shared" si="271"/>
        <v>-493964</v>
      </c>
      <c r="AK82" s="96">
        <f t="shared" si="271"/>
        <v>-327548</v>
      </c>
      <c r="AL82" s="96">
        <f t="shared" si="271"/>
        <v>-358346</v>
      </c>
      <c r="AM82" s="96">
        <f t="shared" si="271"/>
        <v>-493964</v>
      </c>
      <c r="AN82" s="96">
        <f t="shared" si="271"/>
        <v>-327548</v>
      </c>
      <c r="AO82" s="96">
        <f t="shared" si="271"/>
        <v>-358346</v>
      </c>
      <c r="AP82" s="96">
        <f t="shared" si="271"/>
        <v>-493964</v>
      </c>
      <c r="AQ82" s="44">
        <f>SUM(AE82:AP82)</f>
        <v>-4719432</v>
      </c>
      <c r="AR82" s="44">
        <f>AQ82/12</f>
        <v>-393286</v>
      </c>
      <c r="AS82" s="95">
        <f>O82+AC82+AQ82</f>
        <v>-12239958</v>
      </c>
    </row>
    <row r="83" spans="1:45" s="52" customFormat="1" ht="11.25">
      <c r="A83" s="94" t="s">
        <v>15</v>
      </c>
      <c r="B83" s="42" t="str">
        <f>CHOOSE('Исходные данные'!$S$2,'Исходные данные'!$T$2,'Исходные данные'!$T$3,'Исходные данные'!$T$4,'Исходные данные'!$T$5)</f>
        <v>RUB</v>
      </c>
      <c r="C83" s="96">
        <f t="shared" ref="C83:N83" si="272">SUM(C81:C82)</f>
        <v>-24819</v>
      </c>
      <c r="D83" s="43">
        <f t="shared" si="272"/>
        <v>19558</v>
      </c>
      <c r="E83" s="43">
        <f t="shared" si="272"/>
        <v>164801</v>
      </c>
      <c r="F83" s="43">
        <f t="shared" si="272"/>
        <v>22380</v>
      </c>
      <c r="G83" s="43">
        <f t="shared" si="272"/>
        <v>57810</v>
      </c>
      <c r="H83" s="43">
        <f t="shared" si="272"/>
        <v>197940</v>
      </c>
      <c r="I83" s="43">
        <f t="shared" si="272"/>
        <v>22380</v>
      </c>
      <c r="J83" s="96">
        <f t="shared" si="272"/>
        <v>57810</v>
      </c>
      <c r="K83" s="96">
        <f t="shared" si="272"/>
        <v>197940</v>
      </c>
      <c r="L83" s="96">
        <f t="shared" si="272"/>
        <v>22380</v>
      </c>
      <c r="M83" s="96">
        <f t="shared" si="272"/>
        <v>57810</v>
      </c>
      <c r="N83" s="96">
        <f t="shared" si="272"/>
        <v>197940</v>
      </c>
      <c r="O83" s="44">
        <f>SUM(C83:N83)</f>
        <v>993930</v>
      </c>
      <c r="P83" s="44">
        <f>O83/12</f>
        <v>82827.5</v>
      </c>
      <c r="Q83" s="96">
        <f t="shared" ref="Q83:AB83" si="273">SUM(Q81:Q82)</f>
        <v>34316</v>
      </c>
      <c r="R83" s="43">
        <f t="shared" si="273"/>
        <v>76532</v>
      </c>
      <c r="S83" s="43">
        <f t="shared" si="273"/>
        <v>244688</v>
      </c>
      <c r="T83" s="43">
        <f t="shared" si="273"/>
        <v>34316</v>
      </c>
      <c r="U83" s="43">
        <f t="shared" si="273"/>
        <v>76532</v>
      </c>
      <c r="V83" s="43">
        <f t="shared" si="273"/>
        <v>244688</v>
      </c>
      <c r="W83" s="43">
        <f t="shared" si="273"/>
        <v>34316</v>
      </c>
      <c r="X83" s="96">
        <f t="shared" si="273"/>
        <v>76532</v>
      </c>
      <c r="Y83" s="96">
        <f t="shared" si="273"/>
        <v>244688</v>
      </c>
      <c r="Z83" s="96">
        <f t="shared" si="273"/>
        <v>34316</v>
      </c>
      <c r="AA83" s="96">
        <f t="shared" si="273"/>
        <v>76532</v>
      </c>
      <c r="AB83" s="96">
        <f t="shared" si="273"/>
        <v>244688</v>
      </c>
      <c r="AC83" s="44">
        <f>SUM(Q83:AB83)</f>
        <v>1422144</v>
      </c>
      <c r="AD83" s="44">
        <f>AC83/12</f>
        <v>118512</v>
      </c>
      <c r="AE83" s="96">
        <f t="shared" ref="AE83:AP83" si="274">SUM(AE81:AE82)</f>
        <v>46252</v>
      </c>
      <c r="AF83" s="43">
        <f t="shared" si="274"/>
        <v>95254</v>
      </c>
      <c r="AG83" s="43">
        <f t="shared" si="274"/>
        <v>291436</v>
      </c>
      <c r="AH83" s="43">
        <f t="shared" si="274"/>
        <v>46252</v>
      </c>
      <c r="AI83" s="43">
        <f t="shared" si="274"/>
        <v>95254</v>
      </c>
      <c r="AJ83" s="43">
        <f t="shared" si="274"/>
        <v>291436</v>
      </c>
      <c r="AK83" s="43">
        <f t="shared" si="274"/>
        <v>46252</v>
      </c>
      <c r="AL83" s="96">
        <f t="shared" si="274"/>
        <v>95254</v>
      </c>
      <c r="AM83" s="96">
        <f t="shared" si="274"/>
        <v>291436</v>
      </c>
      <c r="AN83" s="96">
        <f t="shared" si="274"/>
        <v>46252</v>
      </c>
      <c r="AO83" s="96">
        <f t="shared" si="274"/>
        <v>95254</v>
      </c>
      <c r="AP83" s="96">
        <f t="shared" si="274"/>
        <v>291436</v>
      </c>
      <c r="AQ83" s="44">
        <f>SUM(AE83:AP83)</f>
        <v>1731768</v>
      </c>
      <c r="AR83" s="44">
        <f>AQ83/12</f>
        <v>144314</v>
      </c>
      <c r="AS83" s="95">
        <f>O83+AC83+AQ83</f>
        <v>4147842</v>
      </c>
    </row>
    <row r="84" spans="1:45" s="52" customFormat="1" ht="11.25">
      <c r="A84" s="94" t="s">
        <v>16</v>
      </c>
      <c r="B84" s="42" t="str">
        <f>CHOOSE('Исходные данные'!$S$2,'Исходные данные'!$T$2,'Исходные данные'!$T$3,'Исходные данные'!$T$4,'Исходные данные'!$T$5)</f>
        <v>RUB</v>
      </c>
      <c r="C84" s="96">
        <f t="shared" ref="C84:N84" si="275">-(C45)</f>
        <v>-438000</v>
      </c>
      <c r="D84" s="96">
        <f t="shared" si="275"/>
        <v>0</v>
      </c>
      <c r="E84" s="96">
        <f t="shared" si="275"/>
        <v>0</v>
      </c>
      <c r="F84" s="96">
        <f t="shared" si="275"/>
        <v>0</v>
      </c>
      <c r="G84" s="96">
        <f t="shared" si="275"/>
        <v>0</v>
      </c>
      <c r="H84" s="96">
        <f t="shared" si="275"/>
        <v>0</v>
      </c>
      <c r="I84" s="96">
        <f t="shared" si="275"/>
        <v>0</v>
      </c>
      <c r="J84" s="96">
        <f t="shared" si="275"/>
        <v>0</v>
      </c>
      <c r="K84" s="96">
        <f t="shared" si="275"/>
        <v>0</v>
      </c>
      <c r="L84" s="96">
        <f t="shared" si="275"/>
        <v>0</v>
      </c>
      <c r="M84" s="96">
        <f t="shared" si="275"/>
        <v>0</v>
      </c>
      <c r="N84" s="96">
        <f t="shared" si="275"/>
        <v>0</v>
      </c>
      <c r="O84" s="44">
        <f>SUM(C84:N84)</f>
        <v>-438000</v>
      </c>
      <c r="P84" s="44"/>
      <c r="Q84" s="96">
        <f t="shared" ref="Q84:AB84" si="276">-(Q45)</f>
        <v>0</v>
      </c>
      <c r="R84" s="96">
        <f t="shared" si="276"/>
        <v>0</v>
      </c>
      <c r="S84" s="96">
        <f t="shared" si="276"/>
        <v>0</v>
      </c>
      <c r="T84" s="96">
        <f t="shared" si="276"/>
        <v>0</v>
      </c>
      <c r="U84" s="96">
        <f t="shared" si="276"/>
        <v>0</v>
      </c>
      <c r="V84" s="96">
        <f t="shared" si="276"/>
        <v>0</v>
      </c>
      <c r="W84" s="96">
        <f t="shared" si="276"/>
        <v>0</v>
      </c>
      <c r="X84" s="96">
        <f t="shared" si="276"/>
        <v>0</v>
      </c>
      <c r="Y84" s="96">
        <f t="shared" si="276"/>
        <v>0</v>
      </c>
      <c r="Z84" s="96">
        <f t="shared" si="276"/>
        <v>0</v>
      </c>
      <c r="AA84" s="96">
        <f t="shared" si="276"/>
        <v>0</v>
      </c>
      <c r="AB84" s="96">
        <f t="shared" si="276"/>
        <v>0</v>
      </c>
      <c r="AC84" s="44">
        <f>SUM(Q84:AB84)</f>
        <v>0</v>
      </c>
      <c r="AD84" s="44"/>
      <c r="AE84" s="96">
        <f t="shared" ref="AE84:AP84" si="277">-(AE45)</f>
        <v>0</v>
      </c>
      <c r="AF84" s="96">
        <f t="shared" si="277"/>
        <v>0</v>
      </c>
      <c r="AG84" s="96">
        <f t="shared" si="277"/>
        <v>0</v>
      </c>
      <c r="AH84" s="96">
        <f t="shared" si="277"/>
        <v>0</v>
      </c>
      <c r="AI84" s="96">
        <f t="shared" si="277"/>
        <v>0</v>
      </c>
      <c r="AJ84" s="96">
        <f t="shared" si="277"/>
        <v>0</v>
      </c>
      <c r="AK84" s="96">
        <f t="shared" si="277"/>
        <v>0</v>
      </c>
      <c r="AL84" s="96">
        <f t="shared" si="277"/>
        <v>0</v>
      </c>
      <c r="AM84" s="96">
        <f t="shared" si="277"/>
        <v>0</v>
      </c>
      <c r="AN84" s="96">
        <f t="shared" si="277"/>
        <v>0</v>
      </c>
      <c r="AO84" s="96">
        <f t="shared" si="277"/>
        <v>0</v>
      </c>
      <c r="AP84" s="96">
        <f t="shared" si="277"/>
        <v>0</v>
      </c>
      <c r="AQ84" s="44">
        <f>SUM(AE84:AP84)</f>
        <v>0</v>
      </c>
      <c r="AR84" s="44"/>
      <c r="AS84" s="95">
        <f>O84+AC84+AQ84</f>
        <v>-438000</v>
      </c>
    </row>
    <row r="85" spans="1:45" s="99" customFormat="1" ht="11.25">
      <c r="A85" s="97" t="s">
        <v>17</v>
      </c>
      <c r="B85" s="91" t="str">
        <f>CHOOSE('Исходные данные'!$S$2,'Исходные данные'!$T$2,'Исходные данные'!$T$3,'Исходные данные'!$T$4,'Исходные данные'!$T$5)</f>
        <v>RUB</v>
      </c>
      <c r="C85" s="74">
        <f>C45</f>
        <v>438000</v>
      </c>
      <c r="D85" s="74">
        <f t="shared" ref="D85:N85" si="278">D45</f>
        <v>0</v>
      </c>
      <c r="E85" s="74">
        <f t="shared" si="278"/>
        <v>0</v>
      </c>
      <c r="F85" s="74">
        <f t="shared" si="278"/>
        <v>0</v>
      </c>
      <c r="G85" s="74">
        <f t="shared" si="278"/>
        <v>0</v>
      </c>
      <c r="H85" s="74">
        <f t="shared" si="278"/>
        <v>0</v>
      </c>
      <c r="I85" s="74">
        <f t="shared" si="278"/>
        <v>0</v>
      </c>
      <c r="J85" s="74">
        <f t="shared" si="278"/>
        <v>0</v>
      </c>
      <c r="K85" s="74">
        <f t="shared" si="278"/>
        <v>0</v>
      </c>
      <c r="L85" s="74">
        <f t="shared" si="278"/>
        <v>0</v>
      </c>
      <c r="M85" s="74">
        <f t="shared" si="278"/>
        <v>0</v>
      </c>
      <c r="N85" s="74">
        <f t="shared" si="278"/>
        <v>0</v>
      </c>
      <c r="O85" s="44">
        <f>SUM(C85:N85)</f>
        <v>438000</v>
      </c>
      <c r="P85" s="44"/>
      <c r="Q85" s="74">
        <f>Q45</f>
        <v>0</v>
      </c>
      <c r="R85" s="74">
        <f t="shared" ref="R85:AB85" si="279">R45</f>
        <v>0</v>
      </c>
      <c r="S85" s="74">
        <f t="shared" si="279"/>
        <v>0</v>
      </c>
      <c r="T85" s="74">
        <f t="shared" si="279"/>
        <v>0</v>
      </c>
      <c r="U85" s="74">
        <f t="shared" si="279"/>
        <v>0</v>
      </c>
      <c r="V85" s="74">
        <f t="shared" si="279"/>
        <v>0</v>
      </c>
      <c r="W85" s="74">
        <f t="shared" si="279"/>
        <v>0</v>
      </c>
      <c r="X85" s="74">
        <f t="shared" si="279"/>
        <v>0</v>
      </c>
      <c r="Y85" s="74">
        <f t="shared" si="279"/>
        <v>0</v>
      </c>
      <c r="Z85" s="74">
        <f t="shared" si="279"/>
        <v>0</v>
      </c>
      <c r="AA85" s="74">
        <f t="shared" si="279"/>
        <v>0</v>
      </c>
      <c r="AB85" s="74">
        <f t="shared" si="279"/>
        <v>0</v>
      </c>
      <c r="AC85" s="44">
        <f>SUM(Q85:AB85)</f>
        <v>0</v>
      </c>
      <c r="AD85" s="44"/>
      <c r="AE85" s="74">
        <f>AE45</f>
        <v>0</v>
      </c>
      <c r="AF85" s="74">
        <f t="shared" ref="AF85:AP85" si="280">AF45</f>
        <v>0</v>
      </c>
      <c r="AG85" s="74">
        <f t="shared" si="280"/>
        <v>0</v>
      </c>
      <c r="AH85" s="74">
        <f t="shared" si="280"/>
        <v>0</v>
      </c>
      <c r="AI85" s="74">
        <f t="shared" si="280"/>
        <v>0</v>
      </c>
      <c r="AJ85" s="74">
        <f t="shared" si="280"/>
        <v>0</v>
      </c>
      <c r="AK85" s="74">
        <f t="shared" si="280"/>
        <v>0</v>
      </c>
      <c r="AL85" s="74">
        <f t="shared" si="280"/>
        <v>0</v>
      </c>
      <c r="AM85" s="74">
        <f t="shared" si="280"/>
        <v>0</v>
      </c>
      <c r="AN85" s="74">
        <f t="shared" si="280"/>
        <v>0</v>
      </c>
      <c r="AO85" s="74">
        <f t="shared" si="280"/>
        <v>0</v>
      </c>
      <c r="AP85" s="74">
        <f t="shared" si="280"/>
        <v>0</v>
      </c>
      <c r="AQ85" s="44">
        <f>SUM(AE85:AP85)</f>
        <v>0</v>
      </c>
      <c r="AR85" s="44"/>
      <c r="AS85" s="98">
        <f>O85+AC85+AQ85</f>
        <v>438000</v>
      </c>
    </row>
    <row r="86" spans="1:45" s="52" customFormat="1" ht="11.25">
      <c r="A86" s="94" t="s">
        <v>18</v>
      </c>
      <c r="B86" s="42" t="str">
        <f>CHOOSE('Исходные данные'!$S$2,'Исходные данные'!$T$2,'Исходные данные'!$T$3,'Исходные данные'!$T$4,'Исходные данные'!$T$5)</f>
        <v>RUB</v>
      </c>
      <c r="C86" s="96">
        <v>0</v>
      </c>
      <c r="D86" s="43">
        <f>C87</f>
        <v>-24819</v>
      </c>
      <c r="E86" s="43">
        <f t="shared" ref="E86:N86" si="281">D87</f>
        <v>-5261</v>
      </c>
      <c r="F86" s="43">
        <f t="shared" si="281"/>
        <v>159540</v>
      </c>
      <c r="G86" s="43">
        <f t="shared" si="281"/>
        <v>181920</v>
      </c>
      <c r="H86" s="43">
        <f t="shared" si="281"/>
        <v>239730</v>
      </c>
      <c r="I86" s="43">
        <f t="shared" si="281"/>
        <v>437670</v>
      </c>
      <c r="J86" s="96">
        <f t="shared" si="281"/>
        <v>460050</v>
      </c>
      <c r="K86" s="96">
        <f t="shared" si="281"/>
        <v>517860</v>
      </c>
      <c r="L86" s="96">
        <f t="shared" si="281"/>
        <v>715800</v>
      </c>
      <c r="M86" s="96">
        <f t="shared" si="281"/>
        <v>738180</v>
      </c>
      <c r="N86" s="96">
        <f t="shared" si="281"/>
        <v>795990</v>
      </c>
      <c r="O86" s="100">
        <f>C86</f>
        <v>0</v>
      </c>
      <c r="P86" s="100"/>
      <c r="Q86" s="96">
        <f>N87</f>
        <v>993930</v>
      </c>
      <c r="R86" s="43">
        <f t="shared" ref="R86:AB86" si="282">Q87</f>
        <v>1028246</v>
      </c>
      <c r="S86" s="43">
        <f t="shared" si="282"/>
        <v>1104778</v>
      </c>
      <c r="T86" s="43">
        <f t="shared" si="282"/>
        <v>1349466</v>
      </c>
      <c r="U86" s="43">
        <f t="shared" si="282"/>
        <v>1383782</v>
      </c>
      <c r="V86" s="43">
        <f t="shared" si="282"/>
        <v>1460314</v>
      </c>
      <c r="W86" s="43">
        <f t="shared" si="282"/>
        <v>1705002</v>
      </c>
      <c r="X86" s="96">
        <f t="shared" si="282"/>
        <v>1739318</v>
      </c>
      <c r="Y86" s="96">
        <f t="shared" si="282"/>
        <v>1815850</v>
      </c>
      <c r="Z86" s="96">
        <f t="shared" si="282"/>
        <v>2060538</v>
      </c>
      <c r="AA86" s="96">
        <f t="shared" si="282"/>
        <v>2094854</v>
      </c>
      <c r="AB86" s="96">
        <f t="shared" si="282"/>
        <v>2171386</v>
      </c>
      <c r="AC86" s="100">
        <f>Q86</f>
        <v>993930</v>
      </c>
      <c r="AD86" s="100"/>
      <c r="AE86" s="96">
        <f>AB87</f>
        <v>2416074</v>
      </c>
      <c r="AF86" s="43">
        <f t="shared" ref="AF86:AP86" si="283">AE87</f>
        <v>2462326</v>
      </c>
      <c r="AG86" s="43">
        <f t="shared" si="283"/>
        <v>2557580</v>
      </c>
      <c r="AH86" s="43">
        <f t="shared" si="283"/>
        <v>2849016</v>
      </c>
      <c r="AI86" s="43">
        <f t="shared" si="283"/>
        <v>2895268</v>
      </c>
      <c r="AJ86" s="43">
        <f t="shared" si="283"/>
        <v>2990522</v>
      </c>
      <c r="AK86" s="43">
        <f t="shared" si="283"/>
        <v>3281958</v>
      </c>
      <c r="AL86" s="96">
        <f t="shared" si="283"/>
        <v>3328210</v>
      </c>
      <c r="AM86" s="96">
        <f t="shared" si="283"/>
        <v>3423464</v>
      </c>
      <c r="AN86" s="96">
        <f t="shared" si="283"/>
        <v>3714900</v>
      </c>
      <c r="AO86" s="96">
        <f t="shared" si="283"/>
        <v>3761152</v>
      </c>
      <c r="AP86" s="96">
        <f t="shared" si="283"/>
        <v>3856406</v>
      </c>
      <c r="AQ86" s="100">
        <f>AE86</f>
        <v>2416074</v>
      </c>
      <c r="AR86" s="100"/>
      <c r="AS86" s="95">
        <f>O86</f>
        <v>0</v>
      </c>
    </row>
    <row r="87" spans="1:45" s="52" customFormat="1" ht="11.25">
      <c r="A87" s="94" t="s">
        <v>19</v>
      </c>
      <c r="B87" s="42" t="str">
        <f>CHOOSE('Исходные данные'!$S$2,'Исходные данные'!$T$2,'Исходные данные'!$T$3,'Исходные данные'!$T$4,'Исходные данные'!$T$5)</f>
        <v>RUB</v>
      </c>
      <c r="C87" s="96">
        <f>C83+C84+C85+C86</f>
        <v>-24819</v>
      </c>
      <c r="D87" s="43">
        <f>D83+D84+D85+D86</f>
        <v>-5261</v>
      </c>
      <c r="E87" s="43">
        <f t="shared" ref="E87:N87" si="284">E83+E84+E85+E86</f>
        <v>159540</v>
      </c>
      <c r="F87" s="43">
        <f t="shared" si="284"/>
        <v>181920</v>
      </c>
      <c r="G87" s="43">
        <f t="shared" si="284"/>
        <v>239730</v>
      </c>
      <c r="H87" s="43">
        <f t="shared" si="284"/>
        <v>437670</v>
      </c>
      <c r="I87" s="43">
        <f t="shared" si="284"/>
        <v>460050</v>
      </c>
      <c r="J87" s="96">
        <f t="shared" si="284"/>
        <v>517860</v>
      </c>
      <c r="K87" s="96">
        <f t="shared" si="284"/>
        <v>715800</v>
      </c>
      <c r="L87" s="96">
        <f t="shared" si="284"/>
        <v>738180</v>
      </c>
      <c r="M87" s="96">
        <f t="shared" si="284"/>
        <v>795990</v>
      </c>
      <c r="N87" s="96">
        <f t="shared" si="284"/>
        <v>993930</v>
      </c>
      <c r="O87" s="100">
        <f>N87</f>
        <v>993930</v>
      </c>
      <c r="P87" s="100"/>
      <c r="Q87" s="96">
        <f>Q83+Q84+Q85+Q86</f>
        <v>1028246</v>
      </c>
      <c r="R87" s="43">
        <f>R83+R84+R85+R86</f>
        <v>1104778</v>
      </c>
      <c r="S87" s="43">
        <f t="shared" ref="S87:AB87" si="285">S83+S84+S85+S86</f>
        <v>1349466</v>
      </c>
      <c r="T87" s="43">
        <f t="shared" si="285"/>
        <v>1383782</v>
      </c>
      <c r="U87" s="43">
        <f t="shared" si="285"/>
        <v>1460314</v>
      </c>
      <c r="V87" s="43">
        <f t="shared" si="285"/>
        <v>1705002</v>
      </c>
      <c r="W87" s="43">
        <f t="shared" si="285"/>
        <v>1739318</v>
      </c>
      <c r="X87" s="96">
        <f t="shared" si="285"/>
        <v>1815850</v>
      </c>
      <c r="Y87" s="96">
        <f t="shared" si="285"/>
        <v>2060538</v>
      </c>
      <c r="Z87" s="96">
        <f t="shared" si="285"/>
        <v>2094854</v>
      </c>
      <c r="AA87" s="96">
        <f t="shared" si="285"/>
        <v>2171386</v>
      </c>
      <c r="AB87" s="96">
        <f t="shared" si="285"/>
        <v>2416074</v>
      </c>
      <c r="AC87" s="100">
        <f>AB87</f>
        <v>2416074</v>
      </c>
      <c r="AD87" s="100"/>
      <c r="AE87" s="96">
        <f>AE83+AE84+AE85+AE86</f>
        <v>2462326</v>
      </c>
      <c r="AF87" s="43">
        <f>AF83+AF84+AF85+AF86</f>
        <v>2557580</v>
      </c>
      <c r="AG87" s="43">
        <f t="shared" ref="AG87:AP87" si="286">AG83+AG84+AG85+AG86</f>
        <v>2849016</v>
      </c>
      <c r="AH87" s="43">
        <f t="shared" si="286"/>
        <v>2895268</v>
      </c>
      <c r="AI87" s="43">
        <f t="shared" si="286"/>
        <v>2990522</v>
      </c>
      <c r="AJ87" s="43">
        <f t="shared" si="286"/>
        <v>3281958</v>
      </c>
      <c r="AK87" s="43">
        <f t="shared" si="286"/>
        <v>3328210</v>
      </c>
      <c r="AL87" s="96">
        <f t="shared" si="286"/>
        <v>3423464</v>
      </c>
      <c r="AM87" s="96">
        <f t="shared" si="286"/>
        <v>3714900</v>
      </c>
      <c r="AN87" s="96">
        <f t="shared" si="286"/>
        <v>3761152</v>
      </c>
      <c r="AO87" s="96">
        <f t="shared" si="286"/>
        <v>3856406</v>
      </c>
      <c r="AP87" s="96">
        <f t="shared" si="286"/>
        <v>4147842</v>
      </c>
      <c r="AQ87" s="100">
        <f>AP87</f>
        <v>4147842</v>
      </c>
      <c r="AR87" s="100"/>
      <c r="AS87" s="95">
        <f>AQ87</f>
        <v>4147842</v>
      </c>
    </row>
    <row r="88" spans="1:45" s="41" customFormat="1" ht="12" thickBot="1">
      <c r="O88" s="61"/>
      <c r="P88" s="61"/>
      <c r="AC88" s="61"/>
      <c r="AD88" s="61"/>
      <c r="AQ88" s="61"/>
      <c r="AR88" s="61"/>
    </row>
    <row r="89" spans="1:45" s="41" customFormat="1" thickTop="1" thickBot="1">
      <c r="A89" s="37" t="s">
        <v>20</v>
      </c>
      <c r="B89" s="38"/>
      <c r="C89" s="38" t="str">
        <f t="shared" ref="C89:AP89" si="287">C$6</f>
        <v>январь</v>
      </c>
      <c r="D89" s="38" t="str">
        <f t="shared" si="287"/>
        <v>февраль</v>
      </c>
      <c r="E89" s="38" t="str">
        <f t="shared" si="287"/>
        <v>март</v>
      </c>
      <c r="F89" s="38" t="str">
        <f t="shared" si="287"/>
        <v>апрель</v>
      </c>
      <c r="G89" s="38" t="str">
        <f t="shared" si="287"/>
        <v>май</v>
      </c>
      <c r="H89" s="38" t="str">
        <f t="shared" si="287"/>
        <v>июнь</v>
      </c>
      <c r="I89" s="38" t="str">
        <f t="shared" si="287"/>
        <v>июль</v>
      </c>
      <c r="J89" s="38" t="str">
        <f t="shared" si="287"/>
        <v>август</v>
      </c>
      <c r="K89" s="38" t="str">
        <f t="shared" si="287"/>
        <v>сентябрь</v>
      </c>
      <c r="L89" s="38" t="str">
        <f t="shared" si="287"/>
        <v>октябрь</v>
      </c>
      <c r="M89" s="38" t="str">
        <f t="shared" si="287"/>
        <v>ноябрь</v>
      </c>
      <c r="N89" s="38" t="str">
        <f t="shared" si="287"/>
        <v>декабрь</v>
      </c>
      <c r="O89" s="101"/>
      <c r="P89" s="101"/>
      <c r="Q89" s="38" t="str">
        <f t="shared" si="287"/>
        <v>январь</v>
      </c>
      <c r="R89" s="38" t="str">
        <f t="shared" si="287"/>
        <v>февраль</v>
      </c>
      <c r="S89" s="38" t="str">
        <f t="shared" si="287"/>
        <v>март</v>
      </c>
      <c r="T89" s="38" t="str">
        <f t="shared" si="287"/>
        <v>апрель</v>
      </c>
      <c r="U89" s="38" t="str">
        <f t="shared" si="287"/>
        <v>май</v>
      </c>
      <c r="V89" s="38" t="str">
        <f t="shared" si="287"/>
        <v>июнь</v>
      </c>
      <c r="W89" s="38" t="str">
        <f t="shared" si="287"/>
        <v>июль</v>
      </c>
      <c r="X89" s="38" t="str">
        <f t="shared" si="287"/>
        <v>август</v>
      </c>
      <c r="Y89" s="38" t="str">
        <f t="shared" si="287"/>
        <v>сентябрь</v>
      </c>
      <c r="Z89" s="38" t="str">
        <f t="shared" si="287"/>
        <v>октябрь</v>
      </c>
      <c r="AA89" s="38" t="str">
        <f t="shared" si="287"/>
        <v>ноябрь</v>
      </c>
      <c r="AB89" s="38" t="str">
        <f t="shared" si="287"/>
        <v>декабрь</v>
      </c>
      <c r="AC89" s="101"/>
      <c r="AD89" s="101"/>
      <c r="AE89" s="38" t="str">
        <f t="shared" si="287"/>
        <v>январь</v>
      </c>
      <c r="AF89" s="38" t="str">
        <f t="shared" si="287"/>
        <v>февраль</v>
      </c>
      <c r="AG89" s="38" t="str">
        <f t="shared" si="287"/>
        <v>март</v>
      </c>
      <c r="AH89" s="38" t="str">
        <f t="shared" si="287"/>
        <v>апрель</v>
      </c>
      <c r="AI89" s="38" t="str">
        <f t="shared" si="287"/>
        <v>май</v>
      </c>
      <c r="AJ89" s="38" t="str">
        <f t="shared" si="287"/>
        <v>июнь</v>
      </c>
      <c r="AK89" s="38" t="str">
        <f t="shared" si="287"/>
        <v>июль</v>
      </c>
      <c r="AL89" s="38" t="str">
        <f t="shared" si="287"/>
        <v>август</v>
      </c>
      <c r="AM89" s="38" t="str">
        <f t="shared" si="287"/>
        <v>сентябрь</v>
      </c>
      <c r="AN89" s="38" t="str">
        <f t="shared" si="287"/>
        <v>октябрь</v>
      </c>
      <c r="AO89" s="38" t="str">
        <f t="shared" si="287"/>
        <v>ноябрь</v>
      </c>
      <c r="AP89" s="38" t="str">
        <f t="shared" si="287"/>
        <v>декабрь</v>
      </c>
      <c r="AQ89" s="101"/>
      <c r="AR89" s="101"/>
      <c r="AS89" s="38"/>
    </row>
    <row r="90" spans="1:45" s="41" customFormat="1" ht="15" thickTop="1">
      <c r="A90" s="102"/>
      <c r="B90" s="103"/>
      <c r="C90" s="102"/>
      <c r="D90" s="102"/>
      <c r="E90" s="102"/>
      <c r="F90" s="102"/>
      <c r="G90" s="102"/>
      <c r="H90" s="102"/>
      <c r="I90" s="104"/>
      <c r="O90" s="61"/>
      <c r="P90" s="61"/>
      <c r="Q90" s="102"/>
      <c r="R90" s="102"/>
      <c r="S90" s="102"/>
      <c r="T90" s="102"/>
      <c r="U90" s="102"/>
      <c r="V90" s="102"/>
      <c r="W90" s="104"/>
      <c r="AC90" s="61"/>
      <c r="AD90" s="61"/>
      <c r="AE90" s="102"/>
      <c r="AF90" s="102"/>
      <c r="AG90" s="102"/>
      <c r="AH90" s="102"/>
      <c r="AI90" s="102"/>
      <c r="AJ90" s="102"/>
      <c r="AK90" s="104"/>
      <c r="AQ90" s="61"/>
      <c r="AR90" s="61"/>
      <c r="AS90" s="105"/>
    </row>
    <row r="91" spans="1:45" s="111" customFormat="1" ht="11.25">
      <c r="A91" s="106" t="s">
        <v>92</v>
      </c>
      <c r="B91" s="107">
        <f>'Исходные данные'!N34</f>
        <v>0.1</v>
      </c>
      <c r="C91" s="108">
        <f>1/POWER((1+$B$91/12),C92)</f>
        <v>1</v>
      </c>
      <c r="D91" s="108">
        <f t="shared" ref="D91:N91" si="288">1/POWER((1+$B$91/12),D92)</f>
        <v>0.99173553719008267</v>
      </c>
      <c r="E91" s="108">
        <f t="shared" si="288"/>
        <v>0.98353937572570183</v>
      </c>
      <c r="F91" s="108">
        <f t="shared" si="288"/>
        <v>0.97541095113292753</v>
      </c>
      <c r="G91" s="108">
        <f t="shared" si="288"/>
        <v>0.9673497036029034</v>
      </c>
      <c r="H91" s="108">
        <f t="shared" si="288"/>
        <v>0.95935507795329267</v>
      </c>
      <c r="I91" s="108">
        <f t="shared" si="288"/>
        <v>0.95142652359004232</v>
      </c>
      <c r="J91" s="108">
        <f t="shared" si="288"/>
        <v>0.94356349446946353</v>
      </c>
      <c r="K91" s="108">
        <f t="shared" si="288"/>
        <v>0.93576544906062498</v>
      </c>
      <c r="L91" s="108">
        <f t="shared" si="288"/>
        <v>0.9280318503080579</v>
      </c>
      <c r="M91" s="108">
        <f t="shared" si="288"/>
        <v>0.92036216559476813</v>
      </c>
      <c r="N91" s="108">
        <f t="shared" si="288"/>
        <v>0.91275586670555531</v>
      </c>
      <c r="O91" s="109"/>
      <c r="P91" s="109"/>
      <c r="Q91" s="108">
        <f>1/POWER((1+$B$91/12),Q92)</f>
        <v>0.90521242979063321</v>
      </c>
      <c r="R91" s="108">
        <f t="shared" ref="R91" si="289">1/POWER((1+$B$91/12),R92)</f>
        <v>0.89773133532955385</v>
      </c>
      <c r="S91" s="108">
        <f t="shared" ref="S91" si="290">1/POWER((1+$B$91/12),S92)</f>
        <v>0.89031206809542529</v>
      </c>
      <c r="T91" s="108">
        <f t="shared" ref="T91" si="291">1/POWER((1+$B$91/12),T92)</f>
        <v>0.88295411711943006</v>
      </c>
      <c r="U91" s="108">
        <f t="shared" ref="U91" si="292">1/POWER((1+$B$91/12),U92)</f>
        <v>0.87565697565563305</v>
      </c>
      <c r="V91" s="108">
        <f t="shared" ref="V91" si="293">1/POWER((1+$B$91/12),V92)</f>
        <v>0.86842014114608246</v>
      </c>
      <c r="W91" s="108">
        <f t="shared" ref="W91" si="294">1/POWER((1+$B$91/12),W92)</f>
        <v>0.86124311518619745</v>
      </c>
      <c r="X91" s="108">
        <f t="shared" ref="X91" si="295">1/POWER((1+$B$91/12),X92)</f>
        <v>0.85412540349044375</v>
      </c>
      <c r="Y91" s="108">
        <f t="shared" ref="Y91" si="296">1/POWER((1+$B$91/12),Y92)</f>
        <v>0.84706651585829151</v>
      </c>
      <c r="Z91" s="108">
        <f t="shared" ref="Z91" si="297">1/POWER((1+$B$91/12),Z92)</f>
        <v>0.84006596614045448</v>
      </c>
      <c r="AA91" s="108">
        <f t="shared" ref="AA91" si="298">1/POWER((1+$B$91/12),AA92)</f>
        <v>0.83312327220540916</v>
      </c>
      <c r="AB91" s="108">
        <f t="shared" ref="AB91" si="299">1/POWER((1+$B$91/12),AB92)</f>
        <v>0.82623795590619109</v>
      </c>
      <c r="AC91" s="109"/>
      <c r="AD91" s="109"/>
      <c r="AE91" s="108">
        <f>1/POWER((1+$B$91/12),AE92)</f>
        <v>0.81940954304746227</v>
      </c>
      <c r="AF91" s="108">
        <f t="shared" ref="AF91" si="300">1/POWER((1+$B$91/12),AF92)</f>
        <v>0.81263756335285531</v>
      </c>
      <c r="AG91" s="108">
        <f t="shared" ref="AG91" si="301">1/POWER((1+$B$91/12),AG92)</f>
        <v>0.80592155043258373</v>
      </c>
      <c r="AH91" s="108">
        <f t="shared" ref="AH91" si="302">1/POWER((1+$B$91/12),AH92)</f>
        <v>0.79926104175132262</v>
      </c>
      <c r="AI91" s="108">
        <f t="shared" ref="AI91" si="303">1/POWER((1+$B$91/12),AI92)</f>
        <v>0.79265557859635305</v>
      </c>
      <c r="AJ91" s="108">
        <f t="shared" ref="AJ91" si="304">1/POWER((1+$B$91/12),AJ92)</f>
        <v>0.78610470604597016</v>
      </c>
      <c r="AK91" s="108">
        <f t="shared" ref="AK91" si="305">1/POWER((1+$B$91/12),AK92)</f>
        <v>0.77960797293815209</v>
      </c>
      <c r="AL91" s="108">
        <f t="shared" ref="AL91" si="306">1/POWER((1+$B$91/12),AL92)</f>
        <v>0.77316493183948976</v>
      </c>
      <c r="AM91" s="108">
        <f t="shared" ref="AM91" si="307">1/POWER((1+$B$91/12),AM92)</f>
        <v>0.76677513901437</v>
      </c>
      <c r="AN91" s="108">
        <f t="shared" ref="AN91" si="308">1/POWER((1+$B$91/12),AN92)</f>
        <v>0.76043815439441664</v>
      </c>
      <c r="AO91" s="108">
        <f t="shared" ref="AO91" si="309">1/POWER((1+$B$91/12),AO92)</f>
        <v>0.75415354154818171</v>
      </c>
      <c r="AP91" s="108">
        <f t="shared" ref="AP91" si="310">1/POWER((1+$B$91/12),AP92)</f>
        <v>0.74792086765108945</v>
      </c>
      <c r="AQ91" s="109"/>
      <c r="AR91" s="109"/>
      <c r="AS91" s="110"/>
    </row>
    <row r="92" spans="1:45" s="116" customFormat="1" ht="11.25" hidden="1">
      <c r="A92" s="112"/>
      <c r="B92" s="107"/>
      <c r="C92" s="113">
        <v>0</v>
      </c>
      <c r="D92" s="113">
        <v>1</v>
      </c>
      <c r="E92" s="113">
        <v>2</v>
      </c>
      <c r="F92" s="113">
        <v>3</v>
      </c>
      <c r="G92" s="113">
        <v>4</v>
      </c>
      <c r="H92" s="113">
        <v>5</v>
      </c>
      <c r="I92" s="113">
        <v>6</v>
      </c>
      <c r="J92" s="113">
        <v>7</v>
      </c>
      <c r="K92" s="113">
        <v>8</v>
      </c>
      <c r="L92" s="113">
        <v>9</v>
      </c>
      <c r="M92" s="113">
        <v>10</v>
      </c>
      <c r="N92" s="113">
        <v>11</v>
      </c>
      <c r="O92" s="114"/>
      <c r="P92" s="114"/>
      <c r="Q92" s="113">
        <v>12</v>
      </c>
      <c r="R92" s="113">
        <v>13</v>
      </c>
      <c r="S92" s="113">
        <v>14</v>
      </c>
      <c r="T92" s="113">
        <v>15</v>
      </c>
      <c r="U92" s="113">
        <v>16</v>
      </c>
      <c r="V92" s="113">
        <v>17</v>
      </c>
      <c r="W92" s="113">
        <v>18</v>
      </c>
      <c r="X92" s="113">
        <v>19</v>
      </c>
      <c r="Y92" s="113">
        <v>20</v>
      </c>
      <c r="Z92" s="113">
        <v>21</v>
      </c>
      <c r="AA92" s="113">
        <v>22</v>
      </c>
      <c r="AB92" s="113">
        <v>23</v>
      </c>
      <c r="AC92" s="114"/>
      <c r="AD92" s="114"/>
      <c r="AE92" s="113">
        <v>24</v>
      </c>
      <c r="AF92" s="113">
        <v>25</v>
      </c>
      <c r="AG92" s="113">
        <v>26</v>
      </c>
      <c r="AH92" s="113">
        <v>27</v>
      </c>
      <c r="AI92" s="113">
        <v>28</v>
      </c>
      <c r="AJ92" s="113">
        <v>29</v>
      </c>
      <c r="AK92" s="113">
        <v>30</v>
      </c>
      <c r="AL92" s="113">
        <v>31</v>
      </c>
      <c r="AM92" s="113">
        <v>32</v>
      </c>
      <c r="AN92" s="113">
        <v>33</v>
      </c>
      <c r="AO92" s="113">
        <v>34</v>
      </c>
      <c r="AP92" s="113">
        <v>35</v>
      </c>
      <c r="AQ92" s="114"/>
      <c r="AR92" s="114"/>
      <c r="AS92" s="115"/>
    </row>
    <row r="93" spans="1:45" s="116" customFormat="1" ht="11.25">
      <c r="A93" s="117" t="str">
        <f>"Чистый денежный поток (NCF), "&amp;CHOOSE('Исходные данные'!$S$2,'Исходные данные'!$T$2,'Исходные данные'!$T$3,'Исходные данные'!$T$4,'Исходные данные'!$T$5)&amp;""</f>
        <v>Чистый денежный поток (NCF), RUB</v>
      </c>
      <c r="B93" s="107"/>
      <c r="C93" s="43">
        <f>SUM(C83:C85)</f>
        <v>-24819</v>
      </c>
      <c r="D93" s="43">
        <f t="shared" ref="D93:N93" si="311">SUM(D83:D85)</f>
        <v>19558</v>
      </c>
      <c r="E93" s="43">
        <f t="shared" si="311"/>
        <v>164801</v>
      </c>
      <c r="F93" s="43">
        <f t="shared" si="311"/>
        <v>22380</v>
      </c>
      <c r="G93" s="43">
        <f t="shared" si="311"/>
        <v>57810</v>
      </c>
      <c r="H93" s="43">
        <f t="shared" si="311"/>
        <v>197940</v>
      </c>
      <c r="I93" s="43">
        <f t="shared" si="311"/>
        <v>22380</v>
      </c>
      <c r="J93" s="43">
        <f t="shared" si="311"/>
        <v>57810</v>
      </c>
      <c r="K93" s="43">
        <f t="shared" si="311"/>
        <v>197940</v>
      </c>
      <c r="L93" s="43">
        <f t="shared" si="311"/>
        <v>22380</v>
      </c>
      <c r="M93" s="43">
        <f t="shared" si="311"/>
        <v>57810</v>
      </c>
      <c r="N93" s="43">
        <f t="shared" si="311"/>
        <v>197940</v>
      </c>
      <c r="O93" s="114"/>
      <c r="P93" s="114"/>
      <c r="Q93" s="43">
        <f>SUM(Q83:Q85)</f>
        <v>34316</v>
      </c>
      <c r="R93" s="43">
        <f t="shared" ref="R93:AB93" si="312">SUM(R83:R85)</f>
        <v>76532</v>
      </c>
      <c r="S93" s="43">
        <f t="shared" si="312"/>
        <v>244688</v>
      </c>
      <c r="T93" s="43">
        <f t="shared" si="312"/>
        <v>34316</v>
      </c>
      <c r="U93" s="43">
        <f t="shared" si="312"/>
        <v>76532</v>
      </c>
      <c r="V93" s="43">
        <f t="shared" si="312"/>
        <v>244688</v>
      </c>
      <c r="W93" s="43">
        <f t="shared" si="312"/>
        <v>34316</v>
      </c>
      <c r="X93" s="43">
        <f t="shared" si="312"/>
        <v>76532</v>
      </c>
      <c r="Y93" s="43">
        <f t="shared" si="312"/>
        <v>244688</v>
      </c>
      <c r="Z93" s="43">
        <f t="shared" si="312"/>
        <v>34316</v>
      </c>
      <c r="AA93" s="43">
        <f t="shared" si="312"/>
        <v>76532</v>
      </c>
      <c r="AB93" s="43">
        <f t="shared" si="312"/>
        <v>244688</v>
      </c>
      <c r="AC93" s="114"/>
      <c r="AD93" s="114"/>
      <c r="AE93" s="43">
        <f>SUM(AE83:AE85)</f>
        <v>46252</v>
      </c>
      <c r="AF93" s="43">
        <f t="shared" ref="AF93:AP93" si="313">SUM(AF83:AF85)</f>
        <v>95254</v>
      </c>
      <c r="AG93" s="43">
        <f t="shared" si="313"/>
        <v>291436</v>
      </c>
      <c r="AH93" s="43">
        <f t="shared" si="313"/>
        <v>46252</v>
      </c>
      <c r="AI93" s="43">
        <f t="shared" si="313"/>
        <v>95254</v>
      </c>
      <c r="AJ93" s="43">
        <f t="shared" si="313"/>
        <v>291436</v>
      </c>
      <c r="AK93" s="43">
        <f t="shared" si="313"/>
        <v>46252</v>
      </c>
      <c r="AL93" s="43">
        <f t="shared" si="313"/>
        <v>95254</v>
      </c>
      <c r="AM93" s="43">
        <f t="shared" si="313"/>
        <v>291436</v>
      </c>
      <c r="AN93" s="43">
        <f t="shared" si="313"/>
        <v>46252</v>
      </c>
      <c r="AO93" s="43">
        <f t="shared" si="313"/>
        <v>95254</v>
      </c>
      <c r="AP93" s="43">
        <f t="shared" si="313"/>
        <v>291436</v>
      </c>
      <c r="AQ93" s="114"/>
      <c r="AR93" s="114"/>
      <c r="AS93" s="115"/>
    </row>
    <row r="94" spans="1:45" s="116" customFormat="1" ht="11.25">
      <c r="A94" s="117" t="str">
        <f>"Чистый денежный поток (NCF) нарастающим итогом, "&amp;CHOOSE('Исходные данные'!$S$2,'Исходные данные'!$T$2,'Исходные данные'!$T$3,'Исходные данные'!$T$4,'Исходные данные'!$T$5)&amp;""</f>
        <v>Чистый денежный поток (NCF) нарастающим итогом, RUB</v>
      </c>
      <c r="B94" s="107"/>
      <c r="C94" s="43">
        <f>B94+C93</f>
        <v>-24819</v>
      </c>
      <c r="D94" s="43">
        <f t="shared" ref="D94:N94" si="314">C94+D93</f>
        <v>-5261</v>
      </c>
      <c r="E94" s="43">
        <f t="shared" si="314"/>
        <v>159540</v>
      </c>
      <c r="F94" s="43">
        <f t="shared" si="314"/>
        <v>181920</v>
      </c>
      <c r="G94" s="43">
        <f t="shared" si="314"/>
        <v>239730</v>
      </c>
      <c r="H94" s="43">
        <f t="shared" si="314"/>
        <v>437670</v>
      </c>
      <c r="I94" s="43">
        <f t="shared" si="314"/>
        <v>460050</v>
      </c>
      <c r="J94" s="43">
        <f t="shared" si="314"/>
        <v>517860</v>
      </c>
      <c r="K94" s="43">
        <f t="shared" si="314"/>
        <v>715800</v>
      </c>
      <c r="L94" s="43">
        <f t="shared" si="314"/>
        <v>738180</v>
      </c>
      <c r="M94" s="43">
        <f t="shared" si="314"/>
        <v>795990</v>
      </c>
      <c r="N94" s="43">
        <f t="shared" si="314"/>
        <v>993930</v>
      </c>
      <c r="O94" s="114"/>
      <c r="P94" s="114"/>
      <c r="Q94" s="43">
        <f>N94+Q93</f>
        <v>1028246</v>
      </c>
      <c r="R94" s="43">
        <f t="shared" ref="R94:AB94" si="315">Q94+R93</f>
        <v>1104778</v>
      </c>
      <c r="S94" s="43">
        <f t="shared" si="315"/>
        <v>1349466</v>
      </c>
      <c r="T94" s="43">
        <f t="shared" si="315"/>
        <v>1383782</v>
      </c>
      <c r="U94" s="43">
        <f t="shared" si="315"/>
        <v>1460314</v>
      </c>
      <c r="V94" s="43">
        <f t="shared" si="315"/>
        <v>1705002</v>
      </c>
      <c r="W94" s="43">
        <f t="shared" si="315"/>
        <v>1739318</v>
      </c>
      <c r="X94" s="43">
        <f t="shared" si="315"/>
        <v>1815850</v>
      </c>
      <c r="Y94" s="43">
        <f t="shared" si="315"/>
        <v>2060538</v>
      </c>
      <c r="Z94" s="43">
        <f t="shared" si="315"/>
        <v>2094854</v>
      </c>
      <c r="AA94" s="43">
        <f t="shared" si="315"/>
        <v>2171386</v>
      </c>
      <c r="AB94" s="43">
        <f t="shared" si="315"/>
        <v>2416074</v>
      </c>
      <c r="AC94" s="114"/>
      <c r="AD94" s="114"/>
      <c r="AE94" s="43">
        <f>AB94+AE93</f>
        <v>2462326</v>
      </c>
      <c r="AF94" s="43">
        <f t="shared" ref="AF94:AP94" si="316">AE94+AF93</f>
        <v>2557580</v>
      </c>
      <c r="AG94" s="43">
        <f t="shared" si="316"/>
        <v>2849016</v>
      </c>
      <c r="AH94" s="43">
        <f t="shared" si="316"/>
        <v>2895268</v>
      </c>
      <c r="AI94" s="43">
        <f t="shared" si="316"/>
        <v>2990522</v>
      </c>
      <c r="AJ94" s="43">
        <f t="shared" si="316"/>
        <v>3281958</v>
      </c>
      <c r="AK94" s="43">
        <f t="shared" si="316"/>
        <v>3328210</v>
      </c>
      <c r="AL94" s="43">
        <f t="shared" si="316"/>
        <v>3423464</v>
      </c>
      <c r="AM94" s="43">
        <f t="shared" si="316"/>
        <v>3714900</v>
      </c>
      <c r="AN94" s="43">
        <f t="shared" si="316"/>
        <v>3761152</v>
      </c>
      <c r="AO94" s="43">
        <f t="shared" si="316"/>
        <v>3856406</v>
      </c>
      <c r="AP94" s="43">
        <f t="shared" si="316"/>
        <v>4147842</v>
      </c>
      <c r="AQ94" s="114"/>
      <c r="AR94" s="114"/>
      <c r="AS94" s="115"/>
    </row>
    <row r="95" spans="1:45" s="41" customFormat="1" ht="11.25">
      <c r="A95" s="41" t="str">
        <f>"Чистая приведенная стоимость (NPV), "&amp;CHOOSE('Исходные данные'!$S$2,'Исходные данные'!$T$2,'Исходные данные'!$T$3,'Исходные данные'!$T$4,'Исходные данные'!$T$5)&amp;""</f>
        <v>Чистая приведенная стоимость (NPV), RUB</v>
      </c>
      <c r="B95" s="118"/>
      <c r="C95" s="43">
        <f>C93*C91</f>
        <v>-24819</v>
      </c>
      <c r="D95" s="43">
        <f t="shared" ref="D95:N95" si="317">D93*D91</f>
        <v>19396.363636363636</v>
      </c>
      <c r="E95" s="43">
        <f t="shared" si="317"/>
        <v>162088.2726589714</v>
      </c>
      <c r="F95" s="43">
        <f t="shared" si="317"/>
        <v>21829.697086354918</v>
      </c>
      <c r="G95" s="43">
        <f t="shared" si="317"/>
        <v>55922.486365283847</v>
      </c>
      <c r="H95" s="43">
        <f t="shared" si="317"/>
        <v>189894.74413007475</v>
      </c>
      <c r="I95" s="43">
        <f t="shared" si="317"/>
        <v>21292.925597945148</v>
      </c>
      <c r="J95" s="43">
        <f t="shared" si="317"/>
        <v>54547.405615279684</v>
      </c>
      <c r="K95" s="43">
        <f t="shared" si="317"/>
        <v>185225.41298706012</v>
      </c>
      <c r="L95" s="43">
        <f t="shared" si="317"/>
        <v>20769.352809894335</v>
      </c>
      <c r="M95" s="43">
        <f t="shared" si="317"/>
        <v>53206.136793033547</v>
      </c>
      <c r="N95" s="43">
        <f t="shared" si="317"/>
        <v>180670.89625569762</v>
      </c>
      <c r="O95" s="44"/>
      <c r="P95" s="44"/>
      <c r="Q95" s="43">
        <f>Q93*Q91</f>
        <v>31063.26974069537</v>
      </c>
      <c r="R95" s="43">
        <f t="shared" ref="R95:AB95" si="318">R93*R91</f>
        <v>68705.174555441408</v>
      </c>
      <c r="S95" s="43">
        <f t="shared" si="318"/>
        <v>217848.67931813342</v>
      </c>
      <c r="T95" s="43">
        <f t="shared" si="318"/>
        <v>30299.453483070363</v>
      </c>
      <c r="U95" s="43">
        <f t="shared" si="318"/>
        <v>67015.779660876913</v>
      </c>
      <c r="V95" s="43">
        <f t="shared" si="318"/>
        <v>212491.98749675261</v>
      </c>
      <c r="W95" s="43">
        <f t="shared" si="318"/>
        <v>29554.41874072955</v>
      </c>
      <c r="X95" s="43">
        <f t="shared" si="318"/>
        <v>65367.925379930639</v>
      </c>
      <c r="Y95" s="43">
        <f t="shared" si="318"/>
        <v>207267.01163233363</v>
      </c>
      <c r="Z95" s="43">
        <f t="shared" si="318"/>
        <v>28827.703694075837</v>
      </c>
      <c r="AA95" s="43">
        <f t="shared" si="318"/>
        <v>63760.590268424377</v>
      </c>
      <c r="AB95" s="43">
        <f t="shared" si="318"/>
        <v>202170.51295477408</v>
      </c>
      <c r="AC95" s="44"/>
      <c r="AD95" s="44"/>
      <c r="AE95" s="43">
        <f>AE93*AE91</f>
        <v>37899.330185031227</v>
      </c>
      <c r="AF95" s="43">
        <f t="shared" ref="AF95:AP95" si="319">AF93*AF91</f>
        <v>77406.978459612874</v>
      </c>
      <c r="AG95" s="43">
        <f t="shared" si="319"/>
        <v>234874.55297187046</v>
      </c>
      <c r="AH95" s="43">
        <f t="shared" si="319"/>
        <v>36967.421703082175</v>
      </c>
      <c r="AI95" s="43">
        <f t="shared" si="319"/>
        <v>75503.614483617013</v>
      </c>
      <c r="AJ95" s="43">
        <f t="shared" si="319"/>
        <v>229099.21111121337</v>
      </c>
      <c r="AK95" s="43">
        <f t="shared" si="319"/>
        <v>36058.427964335409</v>
      </c>
      <c r="AL95" s="43">
        <f t="shared" si="319"/>
        <v>73647.052417438754</v>
      </c>
      <c r="AM95" s="43">
        <f t="shared" si="319"/>
        <v>223465.87941379193</v>
      </c>
      <c r="AN95" s="43">
        <f t="shared" si="319"/>
        <v>35171.785517050557</v>
      </c>
      <c r="AO95" s="43">
        <f t="shared" si="319"/>
        <v>71836.1414466305</v>
      </c>
      <c r="AP95" s="43">
        <f t="shared" si="319"/>
        <v>217971.06598476291</v>
      </c>
      <c r="AQ95" s="119"/>
      <c r="AR95" s="119"/>
      <c r="AS95" s="44"/>
    </row>
    <row r="96" spans="1:45" s="41" customFormat="1" ht="11.25">
      <c r="A96" s="41" t="str">
        <f>"Чистая приведенная стоимость (NPV) нарастающим итогом, "&amp;CHOOSE('Исходные данные'!$S$2,'Исходные данные'!$T$2,'Исходные данные'!$T$3,'Исходные данные'!$T$4,'Исходные данные'!$T$5)&amp;""</f>
        <v>Чистая приведенная стоимость (NPV) нарастающим итогом, RUB</v>
      </c>
      <c r="B96" s="118"/>
      <c r="C96" s="43">
        <f>B96+C95</f>
        <v>-24819</v>
      </c>
      <c r="D96" s="43">
        <f t="shared" ref="D96:N96" si="320">C96+D95</f>
        <v>-5422.636363636364</v>
      </c>
      <c r="E96" s="43">
        <f t="shared" si="320"/>
        <v>156665.63629533505</v>
      </c>
      <c r="F96" s="43">
        <f t="shared" si="320"/>
        <v>178495.33338168997</v>
      </c>
      <c r="G96" s="43">
        <f t="shared" si="320"/>
        <v>234417.81974697381</v>
      </c>
      <c r="H96" s="43">
        <f t="shared" si="320"/>
        <v>424312.56387704855</v>
      </c>
      <c r="I96" s="43">
        <f t="shared" si="320"/>
        <v>445605.48947499372</v>
      </c>
      <c r="J96" s="43">
        <f t="shared" si="320"/>
        <v>500152.89509027341</v>
      </c>
      <c r="K96" s="43">
        <f t="shared" si="320"/>
        <v>685378.3080773335</v>
      </c>
      <c r="L96" s="43">
        <f t="shared" si="320"/>
        <v>706147.66088722786</v>
      </c>
      <c r="M96" s="43">
        <f t="shared" si="320"/>
        <v>759353.79768026143</v>
      </c>
      <c r="N96" s="43">
        <f t="shared" si="320"/>
        <v>940024.69393595902</v>
      </c>
      <c r="O96" s="44"/>
      <c r="P96" s="44"/>
      <c r="Q96" s="43">
        <f>N96+Q95</f>
        <v>971087.96367665438</v>
      </c>
      <c r="R96" s="43">
        <f t="shared" ref="R96:AB96" si="321">Q96+R95</f>
        <v>1039793.1382320957</v>
      </c>
      <c r="S96" s="43">
        <f t="shared" si="321"/>
        <v>1257641.8175502291</v>
      </c>
      <c r="T96" s="43">
        <f t="shared" si="321"/>
        <v>1287941.2710332996</v>
      </c>
      <c r="U96" s="43">
        <f t="shared" si="321"/>
        <v>1354957.0506941765</v>
      </c>
      <c r="V96" s="43">
        <f t="shared" si="321"/>
        <v>1567449.038190929</v>
      </c>
      <c r="W96" s="43">
        <f t="shared" si="321"/>
        <v>1597003.4569316586</v>
      </c>
      <c r="X96" s="43">
        <f t="shared" si="321"/>
        <v>1662371.3823115891</v>
      </c>
      <c r="Y96" s="43">
        <f t="shared" si="321"/>
        <v>1869638.3939439226</v>
      </c>
      <c r="Z96" s="43">
        <f t="shared" si="321"/>
        <v>1898466.0976379984</v>
      </c>
      <c r="AA96" s="43">
        <f t="shared" si="321"/>
        <v>1962226.6879064229</v>
      </c>
      <c r="AB96" s="43">
        <f t="shared" si="321"/>
        <v>2164397.200861197</v>
      </c>
      <c r="AC96" s="44"/>
      <c r="AD96" s="44"/>
      <c r="AE96" s="43">
        <f>AB96+AE95</f>
        <v>2202296.531046228</v>
      </c>
      <c r="AF96" s="43">
        <f t="shared" ref="AF96:AP96" si="322">AE96+AF95</f>
        <v>2279703.5095058409</v>
      </c>
      <c r="AG96" s="43">
        <f t="shared" si="322"/>
        <v>2514578.0624777116</v>
      </c>
      <c r="AH96" s="43">
        <f t="shared" si="322"/>
        <v>2551545.4841807936</v>
      </c>
      <c r="AI96" s="43">
        <f t="shared" si="322"/>
        <v>2627049.0986644104</v>
      </c>
      <c r="AJ96" s="43">
        <f t="shared" si="322"/>
        <v>2856148.309775624</v>
      </c>
      <c r="AK96" s="43">
        <f t="shared" si="322"/>
        <v>2892206.7377399593</v>
      </c>
      <c r="AL96" s="43">
        <f t="shared" si="322"/>
        <v>2965853.7901573982</v>
      </c>
      <c r="AM96" s="43">
        <f t="shared" si="322"/>
        <v>3189319.6695711901</v>
      </c>
      <c r="AN96" s="43">
        <f t="shared" si="322"/>
        <v>3224491.4550882406</v>
      </c>
      <c r="AO96" s="43">
        <f t="shared" si="322"/>
        <v>3296327.596534871</v>
      </c>
      <c r="AP96" s="43">
        <f t="shared" si="322"/>
        <v>3514298.6625196338</v>
      </c>
      <c r="AQ96" s="119"/>
      <c r="AR96" s="119"/>
      <c r="AS96" s="44"/>
    </row>
    <row r="97" spans="1:45" s="41" customFormat="1" ht="11.25">
      <c r="A97" s="65"/>
      <c r="B97" s="120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9"/>
      <c r="P97" s="119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9"/>
      <c r="AD97" s="119"/>
      <c r="AE97" s="118"/>
      <c r="AF97" s="118"/>
      <c r="AG97" s="118"/>
      <c r="AH97" s="118"/>
      <c r="AI97" s="118"/>
      <c r="AJ97" s="118"/>
      <c r="AK97" s="118"/>
      <c r="AL97" s="118"/>
      <c r="AM97" s="118"/>
      <c r="AN97" s="118"/>
      <c r="AO97" s="118"/>
      <c r="AP97" s="118"/>
      <c r="AQ97" s="119"/>
      <c r="AR97" s="119"/>
      <c r="AS97" s="121"/>
    </row>
    <row r="98" spans="1:45" s="41" customFormat="1" ht="11.25">
      <c r="A98" s="122" t="str">
        <f>"Чистая приведенная стоимость (NPV) на конец 3-го года, "&amp;CHOOSE('Исходные данные'!$S$2,'Исходные данные'!$T$2,'Исходные данные'!$T$3,'Исходные данные'!$T$4,'Исходные данные'!$T$5)&amp;""</f>
        <v>Чистая приведенная стоимость (NPV) на конец 3-го года, RUB</v>
      </c>
      <c r="B98" s="123">
        <f>AP96+AS84</f>
        <v>3076298.6625196338</v>
      </c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9"/>
      <c r="P98" s="119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8"/>
      <c r="AC98" s="119"/>
      <c r="AD98" s="119"/>
      <c r="AE98" s="118"/>
      <c r="AF98" s="118"/>
      <c r="AG98" s="118"/>
      <c r="AH98" s="118"/>
      <c r="AI98" s="118"/>
      <c r="AJ98" s="118"/>
      <c r="AK98" s="118"/>
      <c r="AL98" s="118"/>
      <c r="AM98" s="118"/>
      <c r="AN98" s="118"/>
      <c r="AO98" s="118"/>
      <c r="AP98" s="118"/>
      <c r="AQ98" s="119"/>
      <c r="AR98" s="119"/>
      <c r="AS98" s="121"/>
    </row>
    <row r="99" spans="1:45" s="41" customFormat="1" ht="11.25">
      <c r="A99" s="122" t="s">
        <v>21</v>
      </c>
      <c r="B99" s="123">
        <f>AP96/AS45</f>
        <v>8.0235129281270172</v>
      </c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9"/>
      <c r="P99" s="119"/>
      <c r="Q99" s="57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9"/>
      <c r="AD99" s="119"/>
      <c r="AE99" s="57"/>
      <c r="AF99" s="118"/>
      <c r="AG99" s="118"/>
      <c r="AH99" s="118"/>
      <c r="AI99" s="118"/>
      <c r="AJ99" s="118"/>
      <c r="AK99" s="118"/>
      <c r="AL99" s="118"/>
      <c r="AM99" s="118"/>
      <c r="AN99" s="118"/>
      <c r="AO99" s="118"/>
      <c r="AP99" s="118"/>
      <c r="AQ99" s="119"/>
      <c r="AR99" s="119"/>
      <c r="AS99" s="121"/>
    </row>
    <row r="100" spans="1:45" s="41" customFormat="1" ht="11.25">
      <c r="A100" s="124" t="s">
        <v>103</v>
      </c>
      <c r="B100" s="125">
        <f>AS105</f>
        <v>7</v>
      </c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9"/>
      <c r="P100" s="119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9"/>
      <c r="AD100" s="119"/>
      <c r="AE100" s="118"/>
      <c r="AF100" s="118"/>
      <c r="AG100" s="118"/>
      <c r="AH100" s="118"/>
      <c r="AI100" s="118"/>
      <c r="AJ100" s="118"/>
      <c r="AK100" s="118"/>
      <c r="AL100" s="118"/>
      <c r="AM100" s="118"/>
      <c r="AN100" s="118"/>
      <c r="AO100" s="118"/>
      <c r="AP100" s="118"/>
      <c r="AQ100" s="119"/>
      <c r="AR100" s="119"/>
      <c r="AS100" s="121"/>
    </row>
    <row r="101" spans="1:45" s="18" customFormat="1" ht="11.25">
      <c r="A101" s="124" t="s">
        <v>45</v>
      </c>
      <c r="B101" s="125">
        <f>AS106</f>
        <v>2</v>
      </c>
      <c r="C101" s="80"/>
      <c r="D101" s="80"/>
      <c r="E101" s="126"/>
      <c r="F101" s="126"/>
      <c r="G101" s="126"/>
      <c r="H101" s="80"/>
      <c r="I101" s="78"/>
      <c r="J101" s="78"/>
      <c r="K101" s="78"/>
      <c r="L101" s="78"/>
      <c r="M101" s="78"/>
      <c r="N101" s="78"/>
      <c r="O101" s="81"/>
      <c r="P101" s="81"/>
      <c r="Q101" s="80"/>
      <c r="R101" s="80"/>
      <c r="S101" s="126"/>
      <c r="T101" s="126"/>
      <c r="U101" s="126"/>
      <c r="V101" s="80"/>
      <c r="W101" s="78"/>
      <c r="X101" s="78"/>
      <c r="Y101" s="78"/>
      <c r="Z101" s="78"/>
      <c r="AA101" s="78"/>
      <c r="AB101" s="78"/>
      <c r="AC101" s="81"/>
      <c r="AD101" s="81"/>
      <c r="AE101" s="80"/>
      <c r="AF101" s="80"/>
      <c r="AG101" s="126"/>
      <c r="AH101" s="126"/>
      <c r="AI101" s="126"/>
      <c r="AJ101" s="80"/>
      <c r="AK101" s="78"/>
      <c r="AL101" s="78"/>
      <c r="AM101" s="78"/>
      <c r="AN101" s="78"/>
      <c r="AO101" s="78"/>
      <c r="AP101" s="78"/>
      <c r="AQ101" s="81"/>
      <c r="AR101" s="81"/>
      <c r="AS101" s="78"/>
    </row>
    <row r="102" spans="1:45" s="41" customFormat="1" ht="11.25">
      <c r="B102" s="57"/>
      <c r="C102" s="127"/>
      <c r="E102" s="128"/>
      <c r="O102" s="61"/>
      <c r="P102" s="61"/>
      <c r="Q102" s="127"/>
      <c r="S102" s="128"/>
      <c r="AC102" s="61"/>
      <c r="AD102" s="61"/>
      <c r="AE102" s="127"/>
      <c r="AG102" s="128"/>
      <c r="AQ102" s="61"/>
      <c r="AR102" s="61"/>
    </row>
    <row r="103" spans="1:45" s="129" customFormat="1" ht="11.25" hidden="1">
      <c r="B103" s="130" t="s">
        <v>33</v>
      </c>
      <c r="C103" s="130">
        <f t="shared" ref="C103:N103" si="323">IF(C78&gt;0,0,1)</f>
        <v>1</v>
      </c>
      <c r="D103" s="130">
        <f t="shared" si="323"/>
        <v>1</v>
      </c>
      <c r="E103" s="130">
        <f t="shared" si="323"/>
        <v>1</v>
      </c>
      <c r="F103" s="130">
        <f t="shared" si="323"/>
        <v>1</v>
      </c>
      <c r="G103" s="130">
        <f t="shared" si="323"/>
        <v>1</v>
      </c>
      <c r="H103" s="130">
        <f t="shared" si="323"/>
        <v>1</v>
      </c>
      <c r="I103" s="130">
        <f t="shared" si="323"/>
        <v>0</v>
      </c>
      <c r="J103" s="130">
        <f t="shared" si="323"/>
        <v>0</v>
      </c>
      <c r="K103" s="130">
        <f t="shared" si="323"/>
        <v>0</v>
      </c>
      <c r="L103" s="130">
        <f t="shared" si="323"/>
        <v>0</v>
      </c>
      <c r="M103" s="130">
        <f t="shared" si="323"/>
        <v>0</v>
      </c>
      <c r="N103" s="130">
        <f t="shared" si="323"/>
        <v>0</v>
      </c>
      <c r="O103" s="131"/>
      <c r="P103" s="131"/>
      <c r="Q103" s="130">
        <f t="shared" ref="Q103:AB103" si="324">IF(Q78&gt;0,0,1)</f>
        <v>0</v>
      </c>
      <c r="R103" s="130">
        <f t="shared" si="324"/>
        <v>0</v>
      </c>
      <c r="S103" s="130">
        <f t="shared" si="324"/>
        <v>0</v>
      </c>
      <c r="T103" s="130">
        <f t="shared" si="324"/>
        <v>0</v>
      </c>
      <c r="U103" s="130">
        <f t="shared" si="324"/>
        <v>0</v>
      </c>
      <c r="V103" s="130">
        <f t="shared" si="324"/>
        <v>0</v>
      </c>
      <c r="W103" s="130">
        <f t="shared" si="324"/>
        <v>0</v>
      </c>
      <c r="X103" s="130">
        <f t="shared" si="324"/>
        <v>0</v>
      </c>
      <c r="Y103" s="130">
        <f t="shared" si="324"/>
        <v>0</v>
      </c>
      <c r="Z103" s="130">
        <f t="shared" si="324"/>
        <v>0</v>
      </c>
      <c r="AA103" s="130">
        <f t="shared" si="324"/>
        <v>0</v>
      </c>
      <c r="AB103" s="130">
        <f t="shared" si="324"/>
        <v>0</v>
      </c>
      <c r="AC103" s="131"/>
      <c r="AD103" s="131"/>
      <c r="AE103" s="130">
        <f t="shared" ref="AE103:AP103" si="325">IF(AE78&gt;0,0,1)</f>
        <v>0</v>
      </c>
      <c r="AF103" s="130">
        <f t="shared" si="325"/>
        <v>0</v>
      </c>
      <c r="AG103" s="130">
        <f t="shared" si="325"/>
        <v>0</v>
      </c>
      <c r="AH103" s="130">
        <f t="shared" si="325"/>
        <v>0</v>
      </c>
      <c r="AI103" s="130">
        <f t="shared" si="325"/>
        <v>0</v>
      </c>
      <c r="AJ103" s="130">
        <f t="shared" si="325"/>
        <v>0</v>
      </c>
      <c r="AK103" s="130">
        <f t="shared" si="325"/>
        <v>0</v>
      </c>
      <c r="AL103" s="130">
        <f t="shared" si="325"/>
        <v>0</v>
      </c>
      <c r="AM103" s="130">
        <f t="shared" si="325"/>
        <v>0</v>
      </c>
      <c r="AN103" s="130">
        <f t="shared" si="325"/>
        <v>0</v>
      </c>
      <c r="AO103" s="130">
        <f t="shared" si="325"/>
        <v>0</v>
      </c>
      <c r="AP103" s="130">
        <f t="shared" si="325"/>
        <v>0</v>
      </c>
      <c r="AQ103" s="131"/>
      <c r="AR103" s="131"/>
      <c r="AS103" s="129">
        <f>SUM(C103:AP103)</f>
        <v>6</v>
      </c>
    </row>
    <row r="104" spans="1:45" s="130" customFormat="1" ht="11.25" hidden="1">
      <c r="B104" s="130" t="s">
        <v>44</v>
      </c>
      <c r="C104" s="130">
        <f>IF(C75&gt;0,0,1)</f>
        <v>1</v>
      </c>
      <c r="D104" s="130">
        <f>IF(OR(D75&gt;0,C104=0),0,1)</f>
        <v>0</v>
      </c>
      <c r="E104" s="130">
        <f t="shared" ref="E104:N104" si="326">IF(OR(E75&gt;0,D104=0),0,1)</f>
        <v>0</v>
      </c>
      <c r="F104" s="130">
        <f t="shared" si="326"/>
        <v>0</v>
      </c>
      <c r="G104" s="130">
        <f t="shared" si="326"/>
        <v>0</v>
      </c>
      <c r="H104" s="130">
        <f t="shared" si="326"/>
        <v>0</v>
      </c>
      <c r="I104" s="130">
        <f t="shared" si="326"/>
        <v>0</v>
      </c>
      <c r="J104" s="130">
        <f t="shared" si="326"/>
        <v>0</v>
      </c>
      <c r="K104" s="130">
        <f t="shared" si="326"/>
        <v>0</v>
      </c>
      <c r="L104" s="130">
        <f t="shared" si="326"/>
        <v>0</v>
      </c>
      <c r="M104" s="130">
        <f t="shared" si="326"/>
        <v>0</v>
      </c>
      <c r="N104" s="130">
        <f t="shared" si="326"/>
        <v>0</v>
      </c>
      <c r="Q104" s="130">
        <f>IF(OR(Q75&gt;0,N104=0),0,1)</f>
        <v>0</v>
      </c>
      <c r="R104" s="130">
        <f t="shared" ref="R104:AB104" si="327">IF(OR(R75&gt;0,Q104=0),0,1)</f>
        <v>0</v>
      </c>
      <c r="S104" s="130">
        <f t="shared" si="327"/>
        <v>0</v>
      </c>
      <c r="T104" s="130">
        <f t="shared" si="327"/>
        <v>0</v>
      </c>
      <c r="U104" s="130">
        <f t="shared" si="327"/>
        <v>0</v>
      </c>
      <c r="V104" s="130">
        <f t="shared" si="327"/>
        <v>0</v>
      </c>
      <c r="W104" s="130">
        <f t="shared" si="327"/>
        <v>0</v>
      </c>
      <c r="X104" s="130">
        <f t="shared" si="327"/>
        <v>0</v>
      </c>
      <c r="Y104" s="130">
        <f t="shared" si="327"/>
        <v>0</v>
      </c>
      <c r="Z104" s="130">
        <f t="shared" si="327"/>
        <v>0</v>
      </c>
      <c r="AA104" s="130">
        <f t="shared" si="327"/>
        <v>0</v>
      </c>
      <c r="AB104" s="130">
        <f t="shared" si="327"/>
        <v>0</v>
      </c>
      <c r="AE104" s="130">
        <f>IF(OR(AE75&gt;0,AB104=0),0,1)</f>
        <v>0</v>
      </c>
      <c r="AF104" s="130">
        <f t="shared" ref="AF104:AP104" si="328">IF(OR(AF75&gt;0,AE104=0),0,1)</f>
        <v>0</v>
      </c>
      <c r="AG104" s="130">
        <f t="shared" si="328"/>
        <v>0</v>
      </c>
      <c r="AH104" s="130">
        <f t="shared" si="328"/>
        <v>0</v>
      </c>
      <c r="AI104" s="130">
        <f t="shared" si="328"/>
        <v>0</v>
      </c>
      <c r="AJ104" s="130">
        <f t="shared" si="328"/>
        <v>0</v>
      </c>
      <c r="AK104" s="130">
        <f t="shared" si="328"/>
        <v>0</v>
      </c>
      <c r="AL104" s="130">
        <f t="shared" si="328"/>
        <v>0</v>
      </c>
      <c r="AM104" s="130">
        <f t="shared" si="328"/>
        <v>0</v>
      </c>
      <c r="AN104" s="130">
        <f t="shared" si="328"/>
        <v>0</v>
      </c>
      <c r="AO104" s="130">
        <f t="shared" si="328"/>
        <v>0</v>
      </c>
      <c r="AP104" s="130">
        <f t="shared" si="328"/>
        <v>0</v>
      </c>
      <c r="AS104" s="129">
        <f>SUM(C104:AP104)</f>
        <v>1</v>
      </c>
    </row>
    <row r="105" spans="1:45" s="41" customFormat="1" ht="11.25" hidden="1">
      <c r="O105" s="61"/>
      <c r="P105" s="61"/>
      <c r="AC105" s="61"/>
      <c r="AD105" s="61"/>
      <c r="AQ105" s="61"/>
      <c r="AR105" s="61"/>
      <c r="AS105" s="129">
        <f>IF(OR(AR75&lt;0,AQ78&lt;0),"проект не окупается",IF(AS103&lt;36,AS103+1,-AQ78/AR75+37))</f>
        <v>7</v>
      </c>
    </row>
    <row r="106" spans="1:45" s="133" customFormat="1" ht="15" hidden="1">
      <c r="A106" s="41"/>
      <c r="B106" s="132"/>
      <c r="O106" s="134"/>
      <c r="P106" s="134"/>
      <c r="AC106" s="134"/>
      <c r="AD106" s="134"/>
      <c r="AQ106" s="134"/>
      <c r="AR106" s="134"/>
      <c r="AS106" s="129">
        <f>IF(OR(AR75&lt;0,AQ78&lt;0),"проект не окупается",IF(AS104&lt;36,AS104+1,-AQ78/AR75+37))</f>
        <v>2</v>
      </c>
    </row>
    <row r="107" spans="1:45" s="133" customFormat="1" ht="15">
      <c r="A107" s="41"/>
      <c r="B107" s="132"/>
      <c r="O107" s="134"/>
      <c r="P107" s="134"/>
      <c r="AC107" s="134"/>
      <c r="AD107" s="134"/>
      <c r="AQ107" s="134"/>
      <c r="AR107" s="134"/>
    </row>
    <row r="108" spans="1:45" s="133" customFormat="1" ht="15">
      <c r="A108" s="41"/>
      <c r="B108" s="132"/>
      <c r="O108" s="134"/>
      <c r="P108" s="134"/>
      <c r="AC108" s="134"/>
      <c r="AD108" s="134"/>
      <c r="AQ108" s="134"/>
      <c r="AR108" s="134"/>
    </row>
    <row r="109" spans="1:45" s="133" customFormat="1" ht="15">
      <c r="A109" s="41"/>
      <c r="B109" s="132"/>
      <c r="O109" s="134"/>
      <c r="P109" s="134"/>
      <c r="AC109" s="134"/>
      <c r="AD109" s="134"/>
      <c r="AQ109" s="134"/>
      <c r="AR109" s="134"/>
    </row>
    <row r="110" spans="1:45" s="133" customFormat="1" ht="15">
      <c r="A110" s="41"/>
      <c r="B110" s="132"/>
      <c r="O110" s="134"/>
      <c r="P110" s="134"/>
      <c r="AC110" s="134"/>
      <c r="AD110" s="134"/>
      <c r="AQ110" s="134"/>
      <c r="AR110" s="134"/>
    </row>
    <row r="111" spans="1:45" s="133" customFormat="1" ht="15">
      <c r="A111" s="41"/>
      <c r="B111" s="132"/>
      <c r="O111" s="134"/>
      <c r="P111" s="134"/>
      <c r="AC111" s="134"/>
      <c r="AD111" s="134"/>
      <c r="AQ111" s="134"/>
      <c r="AR111" s="134"/>
    </row>
    <row r="112" spans="1:45" s="133" customFormat="1" ht="15">
      <c r="A112" s="41"/>
      <c r="B112" s="132"/>
      <c r="O112" s="134"/>
      <c r="P112" s="134"/>
      <c r="AC112" s="134"/>
      <c r="AD112" s="134"/>
      <c r="AQ112" s="134"/>
      <c r="AR112" s="134"/>
    </row>
    <row r="113" spans="1:44" s="133" customFormat="1" ht="15">
      <c r="A113" s="41"/>
      <c r="B113" s="132"/>
      <c r="O113" s="134"/>
      <c r="P113" s="134"/>
      <c r="AC113" s="134"/>
      <c r="AD113" s="134"/>
      <c r="AQ113" s="134"/>
      <c r="AR113" s="134"/>
    </row>
    <row r="114" spans="1:44" s="133" customFormat="1" ht="15">
      <c r="A114" s="41"/>
      <c r="B114" s="132"/>
      <c r="O114" s="134"/>
      <c r="P114" s="134"/>
      <c r="AC114" s="134"/>
      <c r="AD114" s="134"/>
      <c r="AQ114" s="134"/>
      <c r="AR114" s="134"/>
    </row>
    <row r="115" spans="1:44" s="133" customFormat="1" ht="15">
      <c r="A115" s="41"/>
      <c r="B115" s="132"/>
      <c r="O115" s="134"/>
      <c r="P115" s="134"/>
      <c r="AC115" s="134"/>
      <c r="AD115" s="134"/>
      <c r="AQ115" s="134"/>
      <c r="AR115" s="134"/>
    </row>
    <row r="116" spans="1:44" s="133" customFormat="1" ht="15">
      <c r="A116" s="41"/>
      <c r="B116" s="132"/>
      <c r="O116" s="134"/>
      <c r="P116" s="134"/>
      <c r="AC116" s="134"/>
      <c r="AD116" s="134"/>
      <c r="AQ116" s="134"/>
      <c r="AR116" s="134"/>
    </row>
    <row r="117" spans="1:44" s="133" customFormat="1" ht="15">
      <c r="A117" s="41"/>
      <c r="B117" s="132"/>
      <c r="O117" s="134"/>
      <c r="P117" s="134"/>
      <c r="AC117" s="134"/>
      <c r="AD117" s="134"/>
      <c r="AQ117" s="134"/>
      <c r="AR117" s="134"/>
    </row>
    <row r="118" spans="1:44" s="133" customFormat="1" ht="15">
      <c r="A118" s="41"/>
      <c r="B118" s="132"/>
      <c r="O118" s="134"/>
      <c r="P118" s="134"/>
      <c r="AC118" s="134"/>
      <c r="AD118" s="134"/>
      <c r="AQ118" s="134"/>
      <c r="AR118" s="134"/>
    </row>
    <row r="119" spans="1:44" s="133" customFormat="1" ht="15">
      <c r="A119" s="41"/>
      <c r="B119" s="132"/>
      <c r="O119" s="134"/>
      <c r="P119" s="134"/>
      <c r="AC119" s="134"/>
      <c r="AD119" s="134"/>
      <c r="AQ119" s="134"/>
      <c r="AR119" s="134"/>
    </row>
  </sheetData>
  <mergeCells count="8">
    <mergeCell ref="A1:B1"/>
    <mergeCell ref="AS15:AS16"/>
    <mergeCell ref="C5:P5"/>
    <mergeCell ref="C15:P15"/>
    <mergeCell ref="Q5:AD5"/>
    <mergeCell ref="Q15:AD15"/>
    <mergeCell ref="AE5:AR5"/>
    <mergeCell ref="AE15:AR15"/>
  </mergeCells>
  <conditionalFormatting sqref="C10:N10 AE10:AP10 Q10:AB10">
    <cfRule type="cellIs" dxfId="27" priority="66" operator="lessThan">
      <formula>1</formula>
    </cfRule>
    <cfRule type="cellIs" dxfId="26" priority="67" operator="greaterThan">
      <formula>1</formula>
    </cfRule>
  </conditionalFormatting>
  <conditionalFormatting sqref="C11:N12">
    <cfRule type="cellIs" dxfId="25" priority="26" operator="lessThan">
      <formula>1</formula>
    </cfRule>
    <cfRule type="cellIs" dxfId="24" priority="27" operator="greaterThan">
      <formula>1</formula>
    </cfRule>
  </conditionalFormatting>
  <conditionalFormatting sqref="C11:N11">
    <cfRule type="cellIs" dxfId="23" priority="28" operator="lessThan">
      <formula>1</formula>
    </cfRule>
  </conditionalFormatting>
  <conditionalFormatting sqref="AE11:AP11">
    <cfRule type="cellIs" dxfId="22" priority="22" operator="lessThan">
      <formula>1</formula>
    </cfRule>
  </conditionalFormatting>
  <conditionalFormatting sqref="AE11:AP12">
    <cfRule type="cellIs" dxfId="21" priority="20" operator="lessThan">
      <formula>1</formula>
    </cfRule>
    <cfRule type="cellIs" dxfId="20" priority="21" operator="greaterThan">
      <formula>1</formula>
    </cfRule>
  </conditionalFormatting>
  <conditionalFormatting sqref="Q11:AB11">
    <cfRule type="cellIs" dxfId="19" priority="25" operator="lessThan">
      <formula>1</formula>
    </cfRule>
  </conditionalFormatting>
  <conditionalFormatting sqref="Q11:AB12">
    <cfRule type="cellIs" dxfId="18" priority="23" operator="lessThan">
      <formula>1</formula>
    </cfRule>
    <cfRule type="cellIs" dxfId="17" priority="24" operator="greaterThan">
      <formula>1</formula>
    </cfRule>
  </conditionalFormatting>
  <conditionalFormatting sqref="C13:N13">
    <cfRule type="cellIs" dxfId="16" priority="17" operator="lessThan">
      <formula>1</formula>
    </cfRule>
    <cfRule type="cellIs" dxfId="15" priority="18" operator="greaterThan">
      <formula>1</formula>
    </cfRule>
  </conditionalFormatting>
  <conditionalFormatting sqref="C13:N13">
    <cfRule type="cellIs" dxfId="14" priority="19" operator="lessThan">
      <formula>1</formula>
    </cfRule>
  </conditionalFormatting>
  <conditionalFormatting sqref="AE13:AP13">
    <cfRule type="cellIs" dxfId="13" priority="13" operator="lessThan">
      <formula>1</formula>
    </cfRule>
  </conditionalFormatting>
  <conditionalFormatting sqref="AE13:AP13">
    <cfRule type="cellIs" dxfId="12" priority="11" operator="lessThan">
      <formula>1</formula>
    </cfRule>
    <cfRule type="cellIs" dxfId="11" priority="12" operator="greaterThan">
      <formula>1</formula>
    </cfRule>
  </conditionalFormatting>
  <conditionalFormatting sqref="Q13:AB13">
    <cfRule type="cellIs" dxfId="10" priority="16" operator="lessThan">
      <formula>1</formula>
    </cfRule>
  </conditionalFormatting>
  <conditionalFormatting sqref="Q13:AB13">
    <cfRule type="cellIs" dxfId="9" priority="14" operator="lessThan">
      <formula>1</formula>
    </cfRule>
    <cfRule type="cellIs" dxfId="8" priority="15" operator="greaterThan">
      <formula>1</formula>
    </cfRule>
  </conditionalFormatting>
  <conditionalFormatting sqref="AE7:AP7 Q7:AB7">
    <cfRule type="cellIs" dxfId="7" priority="9" operator="lessThan">
      <formula>1</formula>
    </cfRule>
    <cfRule type="cellIs" dxfId="6" priority="10" operator="greaterThan">
      <formula>1</formula>
    </cfRule>
  </conditionalFormatting>
  <conditionalFormatting sqref="C9:N9 Q9:AB9 AE9:AP9">
    <cfRule type="cellIs" dxfId="5" priority="7" operator="lessThan">
      <formula>1</formula>
    </cfRule>
    <cfRule type="cellIs" dxfId="4" priority="8" operator="greaterThan">
      <formula>1</formula>
    </cfRule>
  </conditionalFormatting>
  <conditionalFormatting sqref="C8:N8 Q8:AB8 AE8:AP8">
    <cfRule type="cellIs" dxfId="3" priority="5" operator="lessThan">
      <formula>1</formula>
    </cfRule>
    <cfRule type="cellIs" dxfId="2" priority="6" operator="greaterThan">
      <formula>1</formula>
    </cfRule>
  </conditionalFormatting>
  <conditionalFormatting sqref="C7:N7">
    <cfRule type="cellIs" dxfId="1" priority="1" operator="lessThan">
      <formula>1</formula>
    </cfRule>
    <cfRule type="cellIs" dxfId="0" priority="2" operator="greaterThan">
      <formula>1</formula>
    </cfRule>
  </conditionalFormatting>
  <pageMargins left="0.39370078740157483" right="0.39370078740157483" top="0.39370078740157483" bottom="0.39370078740157483" header="0.51181102362204722" footer="0.51181102362204722"/>
  <pageSetup paperSize="9" scale="49" fitToHeight="2" orientation="landscape" horizontalDpi="300" verticalDpi="300" r:id="rId1"/>
  <headerFooter alignWithMargins="0"/>
  <colBreaks count="2" manualBreakCount="2">
    <brk id="16" min="4" max="109" man="1"/>
    <brk id="30" min="4" max="10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Исходные данные</vt:lpstr>
      <vt:lpstr>Обобщенный расчет</vt:lpstr>
      <vt:lpstr>Детальный расчет</vt:lpstr>
      <vt:lpstr>'Детальный расчет'!Заголовки_для_печати</vt:lpstr>
      <vt:lpstr>'Детальный расчет'!Область_печати</vt:lpstr>
      <vt:lpstr>'Исходные данные'!Область_печати</vt:lpstr>
      <vt:lpstr>'Обобщенный расчет'!Область_печати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Zazi;Franch.biz</dc:creator>
  <cp:lastModifiedBy>Квартира</cp:lastModifiedBy>
  <cp:lastPrinted>2018-08-28T09:07:03Z</cp:lastPrinted>
  <dcterms:created xsi:type="dcterms:W3CDTF">2013-12-25T12:04:54Z</dcterms:created>
  <dcterms:modified xsi:type="dcterms:W3CDTF">2018-09-26T18:08:48Z</dcterms:modified>
</cp:coreProperties>
</file>